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B3C54784-7EBC-4398-B754-85EF78AF07B1}" xr6:coauthVersionLast="47" xr6:coauthVersionMax="47" xr10:uidLastSave="{00000000-0000-0000-0000-000000000000}"/>
  <workbookProtection workbookAlgorithmName="SHA-512" workbookHashValue="bPTHOZJd4cyzcaYt2CraVQiczZgJKJCsJGVLiaXRdThgO/9WXDT3kkC7zDkyuV4W3sZPI6iXOAlTNbB5UHvHWg==" workbookSaltValue="Bzkql2GfOQfM/hDoMzIWbQ==" workbookSpinCount="100000" lockStructure="1"/>
  <bookViews>
    <workbookView xWindow="28680" yWindow="-120" windowWidth="29040" windowHeight="15720" tabRatio="789" xr2:uid="{00000000-000D-0000-FFFF-FFFF00000000}"/>
  </bookViews>
  <sheets>
    <sheet name="入力シート" sheetId="1" r:id="rId1"/>
    <sheet name="入力シート（2事業場以降）" sheetId="8" r:id="rId2"/>
    <sheet name="第１号様式(その２の２)" sheetId="18" state="hidden" r:id="rId3"/>
    <sheet name="様式第1（10事業場30台）" sheetId="15" state="hidden" r:id="rId4"/>
    <sheet name="様式第1（30事業場90台）" sheetId="14" state="hidden" r:id="rId5"/>
    <sheet name="レポート用" sheetId="16" state="hidden" r:id="rId6"/>
    <sheet name="中間シート" sheetId="3" state="hidden" r:id="rId7"/>
    <sheet name="プルダウン" sheetId="2" state="hidden" r:id="rId8"/>
    <sheet name="補助対象研修一覧" sheetId="17" state="hidden" r:id="rId9"/>
  </sheets>
  <definedNames>
    <definedName name="_xlnm._FilterDatabase" localSheetId="6" hidden="1">中間シート!$B$2:$H$183</definedName>
    <definedName name="_xlnm._FilterDatabase" localSheetId="1" hidden="1">'入力シート（2事業場以降）'!$F$321:$H$531</definedName>
    <definedName name="_xlnm.Print_Area" localSheetId="2">'第１号様式(その２の２)'!$I$1:$AV$36</definedName>
    <definedName name="_xlnm.Print_Area" localSheetId="3">'様式第1（10事業場30台）'!$I$1:$AV$81</definedName>
    <definedName name="_xlnm.Print_Area" localSheetId="4">'様式第1（30事業場90台）'!$I$1:$AV$180</definedName>
    <definedName name="補助対象機器一覧_コード番号" localSheetId="8">補助対象研修一覧!$A$2:$A$140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 i="8" l="1"/>
  <c r="AE276" i="3"/>
  <c r="AE275" i="3"/>
  <c r="AE273" i="3"/>
  <c r="AE272" i="3"/>
  <c r="AE270" i="3"/>
  <c r="AE269" i="3"/>
  <c r="AE267" i="3"/>
  <c r="AE266" i="3"/>
  <c r="AE264" i="3"/>
  <c r="AE263" i="3"/>
  <c r="AE261" i="3"/>
  <c r="AE260" i="3"/>
  <c r="AE258" i="3"/>
  <c r="AE257" i="3"/>
  <c r="AE255" i="3"/>
  <c r="AE254" i="3"/>
  <c r="AE252" i="3"/>
  <c r="AE251" i="3"/>
  <c r="AE249" i="3"/>
  <c r="AE248" i="3"/>
  <c r="AE246" i="3"/>
  <c r="AE245" i="3"/>
  <c r="AE243" i="3"/>
  <c r="AE242" i="3"/>
  <c r="AE240" i="3"/>
  <c r="AE239" i="3"/>
  <c r="AE237" i="3"/>
  <c r="AE236" i="3"/>
  <c r="AE234" i="3"/>
  <c r="AE233" i="3"/>
  <c r="AE231" i="3"/>
  <c r="AE230" i="3"/>
  <c r="AE228" i="3"/>
  <c r="AE227" i="3"/>
  <c r="AE225" i="3"/>
  <c r="AE224" i="3"/>
  <c r="AE222" i="3"/>
  <c r="AE221" i="3"/>
  <c r="AE219" i="3"/>
  <c r="AE218" i="3"/>
  <c r="AE216" i="3"/>
  <c r="AE215" i="3"/>
  <c r="AE213" i="3"/>
  <c r="AE212" i="3"/>
  <c r="AE210" i="3"/>
  <c r="AE209" i="3"/>
  <c r="AE207" i="3"/>
  <c r="AE206" i="3"/>
  <c r="AE204" i="3"/>
  <c r="AE203" i="3"/>
  <c r="AE201" i="3"/>
  <c r="AE200" i="3"/>
  <c r="AE198" i="3"/>
  <c r="AE197" i="3"/>
  <c r="AE195" i="3"/>
  <c r="AE194" i="3"/>
  <c r="AE192" i="3"/>
  <c r="AE189" i="3"/>
  <c r="AE188" i="3"/>
  <c r="AE191" i="3"/>
  <c r="AA274" i="3" l="1"/>
  <c r="AA271" i="3"/>
  <c r="AA268" i="3"/>
  <c r="AA265" i="3"/>
  <c r="AA262" i="3"/>
  <c r="AA259" i="3"/>
  <c r="AA256" i="3"/>
  <c r="AA253" i="3"/>
  <c r="AA250" i="3"/>
  <c r="AA247" i="3"/>
  <c r="AA244" i="3"/>
  <c r="AA241" i="3"/>
  <c r="AA238" i="3"/>
  <c r="AA235" i="3"/>
  <c r="AA232" i="3"/>
  <c r="AA229" i="3"/>
  <c r="AA226" i="3"/>
  <c r="AA223" i="3"/>
  <c r="AA220" i="3"/>
  <c r="AA217" i="3"/>
  <c r="AA214" i="3"/>
  <c r="AA211" i="3"/>
  <c r="AA208" i="3"/>
  <c r="AA205" i="3"/>
  <c r="AA202" i="3"/>
  <c r="AA199" i="3"/>
  <c r="AA196" i="3"/>
  <c r="AA193" i="3"/>
  <c r="AA190" i="3"/>
  <c r="AA187" i="3"/>
  <c r="C3" i="16" l="1"/>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J302" i="8"/>
  <c r="J300" i="8"/>
  <c r="J298" i="8"/>
  <c r="J295" i="8"/>
  <c r="J293" i="8"/>
  <c r="J291" i="8"/>
  <c r="J288" i="8"/>
  <c r="J286" i="8"/>
  <c r="J284" i="8"/>
  <c r="J281" i="8"/>
  <c r="J279" i="8"/>
  <c r="J277" i="8"/>
  <c r="J274" i="8"/>
  <c r="J272" i="8"/>
  <c r="J270" i="8"/>
  <c r="J267" i="8"/>
  <c r="J265" i="8"/>
  <c r="J263" i="8"/>
  <c r="J260" i="8"/>
  <c r="J258" i="8"/>
  <c r="J256" i="8"/>
  <c r="J253" i="8"/>
  <c r="J251" i="8"/>
  <c r="J249" i="8"/>
  <c r="J246" i="8"/>
  <c r="J244" i="8"/>
  <c r="J242" i="8"/>
  <c r="J239" i="8"/>
  <c r="J237" i="8"/>
  <c r="J235" i="8"/>
  <c r="J232" i="8"/>
  <c r="J230" i="8"/>
  <c r="J228" i="8"/>
  <c r="J225" i="8"/>
  <c r="J223" i="8"/>
  <c r="J221" i="8"/>
  <c r="J218" i="8"/>
  <c r="J216" i="8"/>
  <c r="J214" i="8"/>
  <c r="J211" i="8"/>
  <c r="J209" i="8"/>
  <c r="J207" i="8"/>
  <c r="J204" i="8"/>
  <c r="J202" i="8"/>
  <c r="J200" i="8"/>
  <c r="J197" i="8"/>
  <c r="J195" i="8"/>
  <c r="J193" i="8"/>
  <c r="J190" i="8"/>
  <c r="J188" i="8"/>
  <c r="J186" i="8"/>
  <c r="J183" i="8"/>
  <c r="J181" i="8"/>
  <c r="J179" i="8"/>
  <c r="J176" i="8"/>
  <c r="J174" i="8"/>
  <c r="J172" i="8"/>
  <c r="J169" i="8"/>
  <c r="J167" i="8"/>
  <c r="J165" i="8"/>
  <c r="J162" i="8"/>
  <c r="J160" i="8"/>
  <c r="J158" i="8"/>
  <c r="J155" i="8"/>
  <c r="J153" i="8"/>
  <c r="J151" i="8"/>
  <c r="J148" i="8"/>
  <c r="J146" i="8"/>
  <c r="J144" i="8"/>
  <c r="J141" i="8"/>
  <c r="J139" i="8"/>
  <c r="J137" i="8"/>
  <c r="J134" i="8"/>
  <c r="J132" i="8"/>
  <c r="J130" i="8"/>
  <c r="J127" i="8"/>
  <c r="J125" i="8"/>
  <c r="J123" i="8"/>
  <c r="J120" i="8"/>
  <c r="J118" i="8"/>
  <c r="J116" i="8"/>
  <c r="J113" i="8"/>
  <c r="J111" i="8"/>
  <c r="J109" i="8"/>
  <c r="J106" i="8"/>
  <c r="J104" i="8"/>
  <c r="J102" i="8"/>
  <c r="J62" i="1"/>
  <c r="J60" i="1"/>
  <c r="J58" i="1"/>
  <c r="Z72" i="1" l="1"/>
  <c r="Z74" i="1"/>
  <c r="Z76" i="1"/>
  <c r="L3" i="16" l="1"/>
  <c r="K3" i="16"/>
  <c r="X4" i="18" l="1"/>
  <c r="AR302" i="8"/>
  <c r="N370" i="3" s="1"/>
  <c r="AR300" i="8"/>
  <c r="N369" i="3" s="1"/>
  <c r="AR298" i="8"/>
  <c r="N368" i="3" s="1"/>
  <c r="AR295" i="8"/>
  <c r="N367" i="3" s="1"/>
  <c r="AR293" i="8"/>
  <c r="N366" i="3" s="1"/>
  <c r="AR291" i="8"/>
  <c r="N365" i="3" s="1"/>
  <c r="AR288" i="8"/>
  <c r="N364" i="3" s="1"/>
  <c r="AR286" i="8"/>
  <c r="N363" i="3" s="1"/>
  <c r="AR284" i="8"/>
  <c r="N362" i="3" s="1"/>
  <c r="AR281" i="8"/>
  <c r="N361" i="3" s="1"/>
  <c r="AR279" i="8"/>
  <c r="N360" i="3" s="1"/>
  <c r="AR277" i="8"/>
  <c r="N359" i="3" s="1"/>
  <c r="AR274" i="8"/>
  <c r="N358" i="3" s="1"/>
  <c r="AR272" i="8"/>
  <c r="N357" i="3" s="1"/>
  <c r="AR270" i="8"/>
  <c r="N356" i="3" s="1"/>
  <c r="AR267" i="8"/>
  <c r="N355" i="3" s="1"/>
  <c r="AR265" i="8"/>
  <c r="N354" i="3" s="1"/>
  <c r="AR263" i="8"/>
  <c r="N353" i="3" s="1"/>
  <c r="AR260" i="8"/>
  <c r="N352" i="3" s="1"/>
  <c r="AR258" i="8"/>
  <c r="N351" i="3" s="1"/>
  <c r="AR256" i="8"/>
  <c r="N350" i="3" s="1"/>
  <c r="AR253" i="8"/>
  <c r="N349" i="3" s="1"/>
  <c r="AR251" i="8"/>
  <c r="N348" i="3" s="1"/>
  <c r="AR249" i="8"/>
  <c r="N347" i="3" s="1"/>
  <c r="AR246" i="8"/>
  <c r="N346" i="3" s="1"/>
  <c r="AR244" i="8"/>
  <c r="N345" i="3" s="1"/>
  <c r="AR242" i="8"/>
  <c r="N344" i="3" s="1"/>
  <c r="AR239" i="8"/>
  <c r="N343" i="3" s="1"/>
  <c r="AR237" i="8"/>
  <c r="N342" i="3" s="1"/>
  <c r="AR235" i="8"/>
  <c r="N341" i="3" s="1"/>
  <c r="AR232" i="8"/>
  <c r="N340" i="3" s="1"/>
  <c r="AR230" i="8"/>
  <c r="N339" i="3" s="1"/>
  <c r="AR228" i="8"/>
  <c r="N338" i="3" s="1"/>
  <c r="AR225" i="8"/>
  <c r="N337" i="3" s="1"/>
  <c r="AR223" i="8"/>
  <c r="N336" i="3" s="1"/>
  <c r="AR221" i="8"/>
  <c r="N335" i="3" s="1"/>
  <c r="AR218" i="8"/>
  <c r="N334" i="3" s="1"/>
  <c r="AR216" i="8"/>
  <c r="N333" i="3" s="1"/>
  <c r="AR214" i="8"/>
  <c r="N332" i="3" s="1"/>
  <c r="AR211" i="8"/>
  <c r="N331" i="3" s="1"/>
  <c r="AR209" i="8"/>
  <c r="N330" i="3" s="1"/>
  <c r="AR207" i="8"/>
  <c r="N329" i="3" s="1"/>
  <c r="AR204" i="8"/>
  <c r="N328" i="3" s="1"/>
  <c r="AR202" i="8"/>
  <c r="N327" i="3" s="1"/>
  <c r="AR200" i="8"/>
  <c r="N326" i="3" s="1"/>
  <c r="AR197" i="8"/>
  <c r="N325" i="3" s="1"/>
  <c r="AR195" i="8"/>
  <c r="N324" i="3" s="1"/>
  <c r="AR193" i="8"/>
  <c r="N323" i="3" s="1"/>
  <c r="AR190" i="8"/>
  <c r="N322" i="3" s="1"/>
  <c r="AR188" i="8"/>
  <c r="N321" i="3" s="1"/>
  <c r="AR186" i="8"/>
  <c r="N320" i="3" s="1"/>
  <c r="AR183" i="8"/>
  <c r="N319" i="3" s="1"/>
  <c r="AR181" i="8"/>
  <c r="N318" i="3" s="1"/>
  <c r="AR179" i="8"/>
  <c r="N317" i="3" s="1"/>
  <c r="AR176" i="8"/>
  <c r="N316" i="3" s="1"/>
  <c r="AR174" i="8"/>
  <c r="N315" i="3" s="1"/>
  <c r="AR172" i="8"/>
  <c r="N314" i="3" s="1"/>
  <c r="AR169" i="8"/>
  <c r="N313" i="3" s="1"/>
  <c r="AR167" i="8"/>
  <c r="N312" i="3" s="1"/>
  <c r="AR165" i="8"/>
  <c r="N311" i="3" s="1"/>
  <c r="AR162" i="8"/>
  <c r="N310" i="3" s="1"/>
  <c r="AR160" i="8"/>
  <c r="N309" i="3" s="1"/>
  <c r="AR158" i="8"/>
  <c r="N308" i="3" s="1"/>
  <c r="AR155" i="8"/>
  <c r="N307" i="3" s="1"/>
  <c r="AR153" i="8"/>
  <c r="N306" i="3" s="1"/>
  <c r="AR151" i="8"/>
  <c r="N305" i="3" s="1"/>
  <c r="AR148" i="8"/>
  <c r="N304" i="3" s="1"/>
  <c r="AR146" i="8"/>
  <c r="N303" i="3" s="1"/>
  <c r="AR144" i="8"/>
  <c r="N302" i="3" s="1"/>
  <c r="AR141" i="8"/>
  <c r="N301" i="3" s="1"/>
  <c r="AR139" i="8"/>
  <c r="N300" i="3" s="1"/>
  <c r="AR137" i="8"/>
  <c r="N299" i="3" s="1"/>
  <c r="AR134" i="8"/>
  <c r="N298" i="3" s="1"/>
  <c r="AR132" i="8"/>
  <c r="N297" i="3" s="1"/>
  <c r="AR130" i="8"/>
  <c r="N296" i="3" s="1"/>
  <c r="AR127" i="8"/>
  <c r="N295" i="3" s="1"/>
  <c r="AR125" i="8"/>
  <c r="N294" i="3" s="1"/>
  <c r="AR123" i="8"/>
  <c r="N293" i="3" s="1"/>
  <c r="AR120" i="8"/>
  <c r="N292" i="3" s="1"/>
  <c r="AR118" i="8"/>
  <c r="N291" i="3" s="1"/>
  <c r="AR116" i="8"/>
  <c r="N290" i="3" s="1"/>
  <c r="AR113" i="8"/>
  <c r="N289" i="3" s="1"/>
  <c r="AR111" i="8"/>
  <c r="N288" i="3" s="1"/>
  <c r="AR109" i="8"/>
  <c r="N287" i="3" s="1"/>
  <c r="AR106" i="8"/>
  <c r="N286" i="3" s="1"/>
  <c r="AR104" i="8"/>
  <c r="N285" i="3" s="1"/>
  <c r="AR102" i="8"/>
  <c r="N284" i="3" s="1"/>
  <c r="AQ302" i="8" l="1"/>
  <c r="AQ300" i="8"/>
  <c r="AQ298" i="8"/>
  <c r="AQ295" i="8"/>
  <c r="AQ293" i="8"/>
  <c r="AQ291" i="8"/>
  <c r="AQ288" i="8"/>
  <c r="AQ286" i="8"/>
  <c r="AQ284" i="8"/>
  <c r="AQ281" i="8"/>
  <c r="AQ279" i="8"/>
  <c r="AQ277" i="8"/>
  <c r="AQ274" i="8"/>
  <c r="AQ272" i="8"/>
  <c r="AQ270" i="8"/>
  <c r="AQ267" i="8"/>
  <c r="AQ265" i="8"/>
  <c r="AQ263" i="8"/>
  <c r="AQ260" i="8"/>
  <c r="AQ258" i="8"/>
  <c r="AQ256" i="8"/>
  <c r="AQ253" i="8"/>
  <c r="AQ251" i="8"/>
  <c r="AQ249" i="8"/>
  <c r="AQ246" i="8"/>
  <c r="AQ244" i="8"/>
  <c r="AQ242" i="8"/>
  <c r="AQ239" i="8"/>
  <c r="AQ237" i="8"/>
  <c r="AQ235" i="8"/>
  <c r="AQ232" i="8"/>
  <c r="AQ230" i="8"/>
  <c r="AQ228" i="8"/>
  <c r="AQ225" i="8"/>
  <c r="AQ223" i="8"/>
  <c r="AQ221" i="8"/>
  <c r="AQ218" i="8"/>
  <c r="AQ216" i="8"/>
  <c r="AQ214" i="8"/>
  <c r="AQ211" i="8"/>
  <c r="AQ209" i="8"/>
  <c r="AQ207" i="8"/>
  <c r="AQ204" i="8"/>
  <c r="AQ202" i="8"/>
  <c r="AQ200" i="8"/>
  <c r="AQ197" i="8"/>
  <c r="AQ195" i="8"/>
  <c r="AQ193" i="8"/>
  <c r="AQ190" i="8"/>
  <c r="AQ188" i="8"/>
  <c r="AQ186" i="8"/>
  <c r="AQ183" i="8"/>
  <c r="AQ181" i="8"/>
  <c r="AQ179" i="8"/>
  <c r="AQ176" i="8"/>
  <c r="AQ174" i="8"/>
  <c r="AQ172" i="8"/>
  <c r="AQ169" i="8"/>
  <c r="AQ167" i="8"/>
  <c r="AQ165" i="8"/>
  <c r="AQ162" i="8"/>
  <c r="AQ160" i="8"/>
  <c r="AQ158" i="8"/>
  <c r="AQ155" i="8"/>
  <c r="AQ153" i="8"/>
  <c r="AQ151" i="8"/>
  <c r="AQ148" i="8"/>
  <c r="AQ146" i="8"/>
  <c r="AQ144" i="8"/>
  <c r="AQ141" i="8"/>
  <c r="AQ139" i="8"/>
  <c r="AQ137" i="8"/>
  <c r="AQ134" i="8"/>
  <c r="AQ132" i="8"/>
  <c r="AQ130" i="8"/>
  <c r="AQ127" i="8"/>
  <c r="AQ125" i="8"/>
  <c r="AQ123" i="8"/>
  <c r="AQ120" i="8"/>
  <c r="AQ118" i="8"/>
  <c r="AQ116" i="8"/>
  <c r="AQ113" i="8"/>
  <c r="AQ111" i="8"/>
  <c r="AQ109" i="8"/>
  <c r="AQ106" i="8"/>
  <c r="AQ104" i="8"/>
  <c r="AQ102" i="8"/>
  <c r="AA373" i="3" l="1"/>
  <c r="Y58" i="1" l="1"/>
  <c r="Y62" i="1"/>
  <c r="Y60" i="1"/>
  <c r="G6" i="3" l="1"/>
  <c r="G5" i="3"/>
  <c r="G3" i="3"/>
  <c r="C309" i="8" s="1"/>
  <c r="C85" i="8" l="1"/>
  <c r="H15" i="18"/>
  <c r="C16" i="8"/>
  <c r="D162" i="3"/>
  <c r="G162" i="3" s="1"/>
  <c r="D161" i="3"/>
  <c r="H161" i="3" s="1"/>
  <c r="D83" i="3"/>
  <c r="H83" i="3" s="1"/>
  <c r="D20" i="3"/>
  <c r="G20" i="3" s="1"/>
  <c r="W165" i="3"/>
  <c r="D147" i="3"/>
  <c r="G147" i="3" s="1"/>
  <c r="D82" i="3"/>
  <c r="D19" i="3"/>
  <c r="G19" i="3" s="1"/>
  <c r="W159" i="3"/>
  <c r="D40" i="3"/>
  <c r="D10" i="3"/>
  <c r="D71" i="3"/>
  <c r="H71" i="3" s="1"/>
  <c r="W123" i="3"/>
  <c r="D69" i="3"/>
  <c r="G69" i="3" s="1"/>
  <c r="W75" i="3"/>
  <c r="D129" i="3"/>
  <c r="G129" i="3" s="1"/>
  <c r="D67" i="3"/>
  <c r="G67" i="3" s="1"/>
  <c r="W69" i="3"/>
  <c r="D59" i="3"/>
  <c r="H59" i="3" s="1"/>
  <c r="D145" i="3"/>
  <c r="G145" i="3" s="1"/>
  <c r="D68" i="3"/>
  <c r="G68" i="3" s="1"/>
  <c r="D181" i="3"/>
  <c r="G181" i="3" s="1"/>
  <c r="W45" i="3"/>
  <c r="D119" i="3"/>
  <c r="H119" i="3" s="1"/>
  <c r="D57" i="3"/>
  <c r="G57" i="3" s="1"/>
  <c r="D18" i="3"/>
  <c r="G18" i="3" s="1"/>
  <c r="W135" i="3"/>
  <c r="W129" i="3"/>
  <c r="W105" i="3"/>
  <c r="W39" i="3"/>
  <c r="D114" i="3"/>
  <c r="G114" i="3" s="1"/>
  <c r="D52" i="3"/>
  <c r="D138" i="3"/>
  <c r="G138" i="3" s="1"/>
  <c r="D130" i="3"/>
  <c r="W15" i="3"/>
  <c r="D177" i="3"/>
  <c r="G177" i="3" s="1"/>
  <c r="D113" i="3"/>
  <c r="H113" i="3" s="1"/>
  <c r="D169" i="3"/>
  <c r="G169" i="3" s="1"/>
  <c r="D112" i="3"/>
  <c r="D168" i="3"/>
  <c r="G168" i="3" s="1"/>
  <c r="D107" i="3"/>
  <c r="D45" i="3"/>
  <c r="G45" i="3" s="1"/>
  <c r="D102" i="3"/>
  <c r="G102" i="3" s="1"/>
  <c r="D35" i="3"/>
  <c r="G35" i="3" s="1"/>
  <c r="D99" i="3"/>
  <c r="G99" i="3" s="1"/>
  <c r="D98" i="3"/>
  <c r="G98" i="3" s="1"/>
  <c r="D160" i="3"/>
  <c r="D92" i="3"/>
  <c r="G92" i="3" s="1"/>
  <c r="D34" i="3"/>
  <c r="D150" i="3"/>
  <c r="G150" i="3" s="1"/>
  <c r="D24" i="3"/>
  <c r="G24" i="3" s="1"/>
  <c r="W117" i="3"/>
  <c r="D176" i="3"/>
  <c r="G176" i="3" s="1"/>
  <c r="D144" i="3"/>
  <c r="G144" i="3" s="1"/>
  <c r="D128" i="3"/>
  <c r="G128" i="3" s="1"/>
  <c r="D97" i="3"/>
  <c r="G97" i="3" s="1"/>
  <c r="D66" i="3"/>
  <c r="G66" i="3" s="1"/>
  <c r="D49" i="3"/>
  <c r="G49" i="3" s="1"/>
  <c r="D17" i="3"/>
  <c r="W111" i="3"/>
  <c r="D175" i="3"/>
  <c r="G175" i="3" s="1"/>
  <c r="D127" i="3"/>
  <c r="G127" i="3" s="1"/>
  <c r="D96" i="3"/>
  <c r="G96" i="3" s="1"/>
  <c r="D64" i="3"/>
  <c r="D48" i="3"/>
  <c r="G48" i="3" s="1"/>
  <c r="D16" i="3"/>
  <c r="D174" i="3"/>
  <c r="G174" i="3" s="1"/>
  <c r="D126" i="3"/>
  <c r="G126" i="3" s="1"/>
  <c r="D95" i="3"/>
  <c r="D47" i="3"/>
  <c r="W99" i="3"/>
  <c r="D173" i="3"/>
  <c r="D111" i="3"/>
  <c r="G111" i="3" s="1"/>
  <c r="D80" i="3"/>
  <c r="G80" i="3" s="1"/>
  <c r="D63" i="3"/>
  <c r="G63" i="3" s="1"/>
  <c r="D32" i="3"/>
  <c r="G32" i="3" s="1"/>
  <c r="W93" i="3"/>
  <c r="D172" i="3"/>
  <c r="D155" i="3"/>
  <c r="D124" i="3"/>
  <c r="D110" i="3"/>
  <c r="G110" i="3" s="1"/>
  <c r="D78" i="3"/>
  <c r="G78" i="3" s="1"/>
  <c r="D62" i="3"/>
  <c r="G62" i="3" s="1"/>
  <c r="D31" i="3"/>
  <c r="G31" i="3" s="1"/>
  <c r="D14" i="3"/>
  <c r="G14" i="3" s="1"/>
  <c r="W87" i="3"/>
  <c r="D154" i="3"/>
  <c r="D140" i="3"/>
  <c r="G140" i="3" s="1"/>
  <c r="D109" i="3"/>
  <c r="G109" i="3" s="1"/>
  <c r="D77" i="3"/>
  <c r="D61" i="3"/>
  <c r="G61" i="3" s="1"/>
  <c r="D30" i="3"/>
  <c r="G30" i="3" s="1"/>
  <c r="D13" i="3"/>
  <c r="G13" i="3" s="1"/>
  <c r="D159" i="3"/>
  <c r="G159" i="3" s="1"/>
  <c r="D81" i="3"/>
  <c r="G81" i="3" s="1"/>
  <c r="D33" i="3"/>
  <c r="G33" i="3" s="1"/>
  <c r="D158" i="3"/>
  <c r="G158" i="3" s="1"/>
  <c r="D125" i="3"/>
  <c r="D94" i="3"/>
  <c r="D46" i="3"/>
  <c r="D15" i="3"/>
  <c r="G15" i="3" s="1"/>
  <c r="D141" i="3"/>
  <c r="G141" i="3" s="1"/>
  <c r="W81" i="3"/>
  <c r="D139" i="3"/>
  <c r="G139" i="3" s="1"/>
  <c r="D108" i="3"/>
  <c r="G108" i="3" s="1"/>
  <c r="D60" i="3"/>
  <c r="G60" i="3" s="1"/>
  <c r="D29" i="3"/>
  <c r="D11" i="3"/>
  <c r="D137" i="3"/>
  <c r="D123" i="3"/>
  <c r="G123" i="3" s="1"/>
  <c r="D106" i="3"/>
  <c r="D91" i="3"/>
  <c r="G91" i="3" s="1"/>
  <c r="D75" i="3"/>
  <c r="G75" i="3" s="1"/>
  <c r="D58" i="3"/>
  <c r="D44" i="3"/>
  <c r="G44" i="3" s="1"/>
  <c r="W63" i="3"/>
  <c r="D153" i="3"/>
  <c r="G153" i="3" s="1"/>
  <c r="D136" i="3"/>
  <c r="D122" i="3"/>
  <c r="G122" i="3" s="1"/>
  <c r="D88" i="3"/>
  <c r="D74" i="3"/>
  <c r="G74" i="3" s="1"/>
  <c r="D43" i="3"/>
  <c r="G43" i="3" s="1"/>
  <c r="W183" i="3"/>
  <c r="D167" i="3"/>
  <c r="W177" i="3"/>
  <c r="W57" i="3"/>
  <c r="D183" i="3"/>
  <c r="G183" i="3" s="1"/>
  <c r="D166" i="3"/>
  <c r="D152" i="3"/>
  <c r="G152" i="3" s="1"/>
  <c r="D121" i="3"/>
  <c r="G121" i="3" s="1"/>
  <c r="D73" i="3"/>
  <c r="G73" i="3" s="1"/>
  <c r="D42" i="3"/>
  <c r="G42" i="3" s="1"/>
  <c r="D27" i="3"/>
  <c r="G27" i="3" s="1"/>
  <c r="W171" i="3"/>
  <c r="W51" i="3"/>
  <c r="D182" i="3"/>
  <c r="G182" i="3" s="1"/>
  <c r="D151" i="3"/>
  <c r="G151" i="3" s="1"/>
  <c r="D120" i="3"/>
  <c r="G120" i="3" s="1"/>
  <c r="D105" i="3"/>
  <c r="G105" i="3" s="1"/>
  <c r="D72" i="3"/>
  <c r="G72" i="3" s="1"/>
  <c r="D41" i="3"/>
  <c r="D25" i="3"/>
  <c r="G25" i="3" s="1"/>
  <c r="D180" i="3"/>
  <c r="G180" i="3" s="1"/>
  <c r="D149" i="3"/>
  <c r="D135" i="3"/>
  <c r="G135" i="3" s="1"/>
  <c r="D101" i="3"/>
  <c r="D87" i="3"/>
  <c r="G87" i="3" s="1"/>
  <c r="D70" i="3"/>
  <c r="D56" i="3"/>
  <c r="G56" i="3" s="1"/>
  <c r="W153" i="3"/>
  <c r="W33" i="3"/>
  <c r="D179" i="3"/>
  <c r="D165" i="3"/>
  <c r="G165" i="3" s="1"/>
  <c r="D148" i="3"/>
  <c r="D134" i="3"/>
  <c r="G134" i="3" s="1"/>
  <c r="D100" i="3"/>
  <c r="D86" i="3"/>
  <c r="G86" i="3" s="1"/>
  <c r="D55" i="3"/>
  <c r="G55" i="3" s="1"/>
  <c r="W147" i="3"/>
  <c r="W27" i="3"/>
  <c r="D178" i="3"/>
  <c r="D164" i="3"/>
  <c r="G164" i="3" s="1"/>
  <c r="D133" i="3"/>
  <c r="G133" i="3" s="1"/>
  <c r="D116" i="3"/>
  <c r="G116" i="3" s="1"/>
  <c r="D85" i="3"/>
  <c r="G85" i="3" s="1"/>
  <c r="D54" i="3"/>
  <c r="G54" i="3" s="1"/>
  <c r="D39" i="3"/>
  <c r="G39" i="3" s="1"/>
  <c r="W141" i="3"/>
  <c r="W21" i="3"/>
  <c r="D163" i="3"/>
  <c r="G163" i="3" s="1"/>
  <c r="D131" i="3"/>
  <c r="D115" i="3"/>
  <c r="G115" i="3" s="1"/>
  <c r="D84" i="3"/>
  <c r="G84" i="3" s="1"/>
  <c r="D53" i="3"/>
  <c r="D38" i="3"/>
  <c r="G38" i="3" s="1"/>
  <c r="D21" i="3"/>
  <c r="G21" i="3" s="1"/>
  <c r="D28" i="3"/>
  <c r="D146" i="3"/>
  <c r="G146" i="3" s="1"/>
  <c r="D132" i="3"/>
  <c r="G132" i="3" s="1"/>
  <c r="D118" i="3"/>
  <c r="D93" i="3"/>
  <c r="G93" i="3" s="1"/>
  <c r="D79" i="3"/>
  <c r="G79" i="3" s="1"/>
  <c r="D65" i="3"/>
  <c r="D26" i="3"/>
  <c r="G26" i="3" s="1"/>
  <c r="D12" i="3"/>
  <c r="G12" i="3" s="1"/>
  <c r="D171" i="3"/>
  <c r="G171" i="3" s="1"/>
  <c r="D157" i="3"/>
  <c r="G157" i="3" s="1"/>
  <c r="D143" i="3"/>
  <c r="D104" i="3"/>
  <c r="G104" i="3" s="1"/>
  <c r="D90" i="3"/>
  <c r="G90" i="3" s="1"/>
  <c r="D76" i="3"/>
  <c r="D51" i="3"/>
  <c r="G51" i="3" s="1"/>
  <c r="D37" i="3"/>
  <c r="G37" i="3" s="1"/>
  <c r="D23" i="3"/>
  <c r="D170" i="3"/>
  <c r="G170" i="3" s="1"/>
  <c r="D156" i="3"/>
  <c r="G156" i="3" s="1"/>
  <c r="D142" i="3"/>
  <c r="D117" i="3"/>
  <c r="G117" i="3" s="1"/>
  <c r="D103" i="3"/>
  <c r="G103" i="3" s="1"/>
  <c r="D89" i="3"/>
  <c r="D50" i="3"/>
  <c r="G50" i="3" s="1"/>
  <c r="D36" i="3"/>
  <c r="G36" i="3" s="1"/>
  <c r="D22" i="3"/>
  <c r="AF282" i="3"/>
  <c r="AF283" i="3"/>
  <c r="G284" i="3"/>
  <c r="H284" i="3"/>
  <c r="G285" i="3"/>
  <c r="H285" i="3"/>
  <c r="G286" i="3"/>
  <c r="H286" i="3"/>
  <c r="G287" i="3"/>
  <c r="H287" i="3"/>
  <c r="G288" i="3"/>
  <c r="H288" i="3"/>
  <c r="G289" i="3"/>
  <c r="H289" i="3"/>
  <c r="G290" i="3"/>
  <c r="H290" i="3"/>
  <c r="G291" i="3"/>
  <c r="H291" i="3"/>
  <c r="G292" i="3"/>
  <c r="H292" i="3"/>
  <c r="G293" i="3"/>
  <c r="H293" i="3"/>
  <c r="G294" i="3"/>
  <c r="H294" i="3"/>
  <c r="G295" i="3"/>
  <c r="H295" i="3"/>
  <c r="G296" i="3"/>
  <c r="H296" i="3"/>
  <c r="G297" i="3"/>
  <c r="H297" i="3"/>
  <c r="G298" i="3"/>
  <c r="H298" i="3"/>
  <c r="G299" i="3"/>
  <c r="H299" i="3"/>
  <c r="G300" i="3"/>
  <c r="H300" i="3"/>
  <c r="G301" i="3"/>
  <c r="H301" i="3"/>
  <c r="G302" i="3"/>
  <c r="H302" i="3"/>
  <c r="G303" i="3"/>
  <c r="H303" i="3"/>
  <c r="G304" i="3"/>
  <c r="H304" i="3"/>
  <c r="G305" i="3"/>
  <c r="H305" i="3"/>
  <c r="G306" i="3"/>
  <c r="H306" i="3"/>
  <c r="G307" i="3"/>
  <c r="H307" i="3"/>
  <c r="G308" i="3"/>
  <c r="H308" i="3"/>
  <c r="G309" i="3"/>
  <c r="H309" i="3"/>
  <c r="G310" i="3"/>
  <c r="H310" i="3"/>
  <c r="G311" i="3"/>
  <c r="H311" i="3"/>
  <c r="G312" i="3"/>
  <c r="H312" i="3"/>
  <c r="G313" i="3"/>
  <c r="H313" i="3"/>
  <c r="G314" i="3"/>
  <c r="H314" i="3"/>
  <c r="G315" i="3"/>
  <c r="H315" i="3"/>
  <c r="G316" i="3"/>
  <c r="H316" i="3"/>
  <c r="G317" i="3"/>
  <c r="H317" i="3"/>
  <c r="G318" i="3"/>
  <c r="H318" i="3"/>
  <c r="G319" i="3"/>
  <c r="H319" i="3"/>
  <c r="G320" i="3"/>
  <c r="H320" i="3"/>
  <c r="G321" i="3"/>
  <c r="H321" i="3"/>
  <c r="G322" i="3"/>
  <c r="H322" i="3"/>
  <c r="G323" i="3"/>
  <c r="H323" i="3"/>
  <c r="G324" i="3"/>
  <c r="H324" i="3"/>
  <c r="G325" i="3"/>
  <c r="H325" i="3"/>
  <c r="G326" i="3"/>
  <c r="H326" i="3"/>
  <c r="G327" i="3"/>
  <c r="H327" i="3"/>
  <c r="G328" i="3"/>
  <c r="H328" i="3"/>
  <c r="G329" i="3"/>
  <c r="H329" i="3"/>
  <c r="G330" i="3"/>
  <c r="H330" i="3"/>
  <c r="G331" i="3"/>
  <c r="H331" i="3"/>
  <c r="G332" i="3"/>
  <c r="H332" i="3"/>
  <c r="G333" i="3"/>
  <c r="H333" i="3"/>
  <c r="G334" i="3"/>
  <c r="H334" i="3"/>
  <c r="G335" i="3"/>
  <c r="H335" i="3"/>
  <c r="G336" i="3"/>
  <c r="H336" i="3"/>
  <c r="G337" i="3"/>
  <c r="H337" i="3"/>
  <c r="G338" i="3"/>
  <c r="H338" i="3"/>
  <c r="G339" i="3"/>
  <c r="H339" i="3"/>
  <c r="G340" i="3"/>
  <c r="H340" i="3"/>
  <c r="G341" i="3"/>
  <c r="H341" i="3"/>
  <c r="G342" i="3"/>
  <c r="H342" i="3"/>
  <c r="G343" i="3"/>
  <c r="H343" i="3"/>
  <c r="G344" i="3"/>
  <c r="H344" i="3"/>
  <c r="G345" i="3"/>
  <c r="H345" i="3"/>
  <c r="G346" i="3"/>
  <c r="H346" i="3"/>
  <c r="G347" i="3"/>
  <c r="H347" i="3"/>
  <c r="G348" i="3"/>
  <c r="H348" i="3"/>
  <c r="G349" i="3"/>
  <c r="H349" i="3"/>
  <c r="G350" i="3"/>
  <c r="H350" i="3"/>
  <c r="G351" i="3"/>
  <c r="H351" i="3"/>
  <c r="G352" i="3"/>
  <c r="H352" i="3"/>
  <c r="G353" i="3"/>
  <c r="H353" i="3"/>
  <c r="G354" i="3"/>
  <c r="H354" i="3"/>
  <c r="G355" i="3"/>
  <c r="H355" i="3"/>
  <c r="G356" i="3"/>
  <c r="H356" i="3"/>
  <c r="G357" i="3"/>
  <c r="H357" i="3"/>
  <c r="G358" i="3"/>
  <c r="H358" i="3"/>
  <c r="G359" i="3"/>
  <c r="H359" i="3"/>
  <c r="G360" i="3"/>
  <c r="H360" i="3"/>
  <c r="G361" i="3"/>
  <c r="H361" i="3"/>
  <c r="G362" i="3"/>
  <c r="H362" i="3"/>
  <c r="G363" i="3"/>
  <c r="H363" i="3"/>
  <c r="G364" i="3"/>
  <c r="H364" i="3"/>
  <c r="G365" i="3"/>
  <c r="H365" i="3"/>
  <c r="G366" i="3"/>
  <c r="H366" i="3"/>
  <c r="G367" i="3"/>
  <c r="H367" i="3"/>
  <c r="G368" i="3"/>
  <c r="H368" i="3"/>
  <c r="G369" i="3"/>
  <c r="H369" i="3"/>
  <c r="G370" i="3"/>
  <c r="H370" i="3"/>
  <c r="AB15" i="18" l="1"/>
  <c r="G161" i="3"/>
  <c r="G119" i="3"/>
  <c r="G59" i="3"/>
  <c r="H35" i="3"/>
  <c r="G83" i="3"/>
  <c r="H107" i="3"/>
  <c r="G107" i="3"/>
  <c r="G71" i="3"/>
  <c r="G113" i="3"/>
  <c r="H11" i="3"/>
  <c r="G11" i="3"/>
  <c r="H95" i="3"/>
  <c r="G95" i="3"/>
  <c r="H29" i="3"/>
  <c r="G29" i="3"/>
  <c r="H53" i="3"/>
  <c r="G53" i="3"/>
  <c r="H65" i="3"/>
  <c r="G65" i="3"/>
  <c r="H17" i="3"/>
  <c r="G17" i="3"/>
  <c r="H23" i="3"/>
  <c r="G23" i="3"/>
  <c r="H41" i="3"/>
  <c r="G41" i="3"/>
  <c r="H173" i="3"/>
  <c r="G173" i="3"/>
  <c r="H131" i="3"/>
  <c r="G131" i="3"/>
  <c r="G77" i="3"/>
  <c r="H77" i="3"/>
  <c r="H167" i="3"/>
  <c r="G167" i="3"/>
  <c r="H101" i="3"/>
  <c r="G101" i="3"/>
  <c r="G125" i="3"/>
  <c r="H125" i="3"/>
  <c r="G137" i="3"/>
  <c r="H137" i="3"/>
  <c r="H179" i="3"/>
  <c r="G179" i="3"/>
  <c r="H149" i="3"/>
  <c r="G149" i="3"/>
  <c r="H155" i="3"/>
  <c r="G155" i="3"/>
  <c r="H89" i="3"/>
  <c r="G89" i="3"/>
  <c r="H143" i="3"/>
  <c r="G143" i="3"/>
  <c r="G47" i="3"/>
  <c r="H47" i="3"/>
  <c r="AD276" i="3"/>
  <c r="AD273" i="3"/>
  <c r="AD270" i="3"/>
  <c r="AD267" i="3"/>
  <c r="AD264" i="3"/>
  <c r="AD261" i="3"/>
  <c r="AD258" i="3"/>
  <c r="AD255" i="3"/>
  <c r="AD252" i="3"/>
  <c r="AD249" i="3"/>
  <c r="AD246" i="3"/>
  <c r="AD243" i="3"/>
  <c r="AD240" i="3"/>
  <c r="AD237" i="3"/>
  <c r="AD234" i="3"/>
  <c r="AD231" i="3"/>
  <c r="AD228" i="3"/>
  <c r="AD225" i="3"/>
  <c r="AD222" i="3"/>
  <c r="AD219" i="3"/>
  <c r="AD216" i="3"/>
  <c r="AD213" i="3"/>
  <c r="AD210" i="3"/>
  <c r="AD207" i="3"/>
  <c r="AD204" i="3"/>
  <c r="AD201" i="3"/>
  <c r="AD198" i="3"/>
  <c r="AD195" i="3"/>
  <c r="AD192" i="3"/>
  <c r="F191" i="3"/>
  <c r="F192" i="3"/>
  <c r="Y15" i="18" l="1"/>
  <c r="E183" i="3"/>
  <c r="E182" i="3"/>
  <c r="Y182" i="3"/>
  <c r="E181" i="3"/>
  <c r="Y181" i="3"/>
  <c r="E177" i="3"/>
  <c r="E175" i="3"/>
  <c r="Y175" i="3"/>
  <c r="E176" i="3"/>
  <c r="Y176" i="3"/>
  <c r="E171" i="3"/>
  <c r="E170" i="3"/>
  <c r="Y170" i="3"/>
  <c r="E169" i="3"/>
  <c r="Y169" i="3"/>
  <c r="E165" i="3"/>
  <c r="E164" i="3"/>
  <c r="Y164" i="3"/>
  <c r="E163" i="3"/>
  <c r="Y163" i="3"/>
  <c r="E159" i="3"/>
  <c r="E158" i="3"/>
  <c r="Y158" i="3"/>
  <c r="E157" i="3"/>
  <c r="Y157" i="3"/>
  <c r="E153" i="3"/>
  <c r="E152" i="3"/>
  <c r="Y152" i="3"/>
  <c r="E151" i="3"/>
  <c r="Y151" i="3"/>
  <c r="E147" i="3"/>
  <c r="E146" i="3"/>
  <c r="Y146" i="3"/>
  <c r="E145" i="3"/>
  <c r="Y145" i="3"/>
  <c r="E141" i="3"/>
  <c r="E140" i="3"/>
  <c r="Y140" i="3"/>
  <c r="E139" i="3"/>
  <c r="Y139" i="3"/>
  <c r="E135" i="3"/>
  <c r="E134" i="3"/>
  <c r="Y134" i="3"/>
  <c r="E133" i="3"/>
  <c r="Y133" i="3"/>
  <c r="E129" i="3"/>
  <c r="E128" i="3"/>
  <c r="Y128" i="3"/>
  <c r="E127" i="3"/>
  <c r="Y127" i="3"/>
  <c r="E123" i="3"/>
  <c r="E122" i="3"/>
  <c r="Y122" i="3"/>
  <c r="E121" i="3"/>
  <c r="Y121" i="3"/>
  <c r="E117" i="3"/>
  <c r="E116" i="3"/>
  <c r="Y116" i="3"/>
  <c r="E115" i="3"/>
  <c r="Y115" i="3"/>
  <c r="E111" i="3"/>
  <c r="E110" i="3"/>
  <c r="Y110" i="3"/>
  <c r="E109" i="3"/>
  <c r="Y109" i="3"/>
  <c r="E105" i="3"/>
  <c r="E104" i="3"/>
  <c r="Y104" i="3"/>
  <c r="E103" i="3"/>
  <c r="Y103" i="3"/>
  <c r="E99" i="3"/>
  <c r="E98" i="3"/>
  <c r="Y98" i="3"/>
  <c r="E97" i="3"/>
  <c r="Y97" i="3"/>
  <c r="E93" i="3"/>
  <c r="E92" i="3"/>
  <c r="Y92" i="3"/>
  <c r="E91" i="3"/>
  <c r="Y91" i="3"/>
  <c r="E87" i="3"/>
  <c r="E86" i="3"/>
  <c r="Y86" i="3"/>
  <c r="E85" i="3"/>
  <c r="Y85" i="3"/>
  <c r="E81" i="3"/>
  <c r="E80" i="3"/>
  <c r="Y80" i="3"/>
  <c r="E79" i="3"/>
  <c r="Y79" i="3"/>
  <c r="Y13" i="3"/>
  <c r="E75" i="3"/>
  <c r="E74" i="3"/>
  <c r="Y74" i="3"/>
  <c r="E73" i="3"/>
  <c r="Y73" i="3"/>
  <c r="E69" i="3"/>
  <c r="E68" i="3"/>
  <c r="Y68" i="3"/>
  <c r="E67" i="3"/>
  <c r="Y67" i="3"/>
  <c r="E63" i="3"/>
  <c r="E62" i="3"/>
  <c r="Y62" i="3"/>
  <c r="E61" i="3"/>
  <c r="Y61" i="3"/>
  <c r="E57" i="3"/>
  <c r="E56" i="3"/>
  <c r="Y56" i="3"/>
  <c r="E55" i="3"/>
  <c r="Y55" i="3"/>
  <c r="E51" i="3"/>
  <c r="E50" i="3"/>
  <c r="Y50" i="3"/>
  <c r="E49" i="3"/>
  <c r="Y49" i="3"/>
  <c r="E45" i="3"/>
  <c r="E44" i="3"/>
  <c r="Y44" i="3"/>
  <c r="E43" i="3"/>
  <c r="Y43" i="3"/>
  <c r="E39" i="3"/>
  <c r="E38" i="3"/>
  <c r="Y38" i="3"/>
  <c r="E37" i="3"/>
  <c r="Y37" i="3"/>
  <c r="E33" i="3"/>
  <c r="E32" i="3"/>
  <c r="Y32" i="3"/>
  <c r="E31" i="3"/>
  <c r="Y31" i="3"/>
  <c r="E27" i="3"/>
  <c r="E26" i="3"/>
  <c r="Y26" i="3"/>
  <c r="E25" i="3"/>
  <c r="Y25" i="3"/>
  <c r="E21" i="3"/>
  <c r="E20" i="3"/>
  <c r="Y20" i="3"/>
  <c r="E19" i="3"/>
  <c r="Y19" i="3"/>
  <c r="E15" i="3"/>
  <c r="E14" i="3"/>
  <c r="Y14" i="3"/>
  <c r="E13" i="3"/>
  <c r="E178" i="3"/>
  <c r="F178" i="3" s="1"/>
  <c r="E172" i="3"/>
  <c r="F172" i="3" s="1"/>
  <c r="E166" i="3"/>
  <c r="F166" i="3" s="1"/>
  <c r="E160" i="3"/>
  <c r="F160" i="3" s="1"/>
  <c r="E154" i="3"/>
  <c r="F154" i="3" s="1"/>
  <c r="E148" i="3"/>
  <c r="F148" i="3" s="1"/>
  <c r="E142" i="3"/>
  <c r="F142" i="3" s="1"/>
  <c r="E136" i="3"/>
  <c r="F136" i="3" s="1"/>
  <c r="E130" i="3"/>
  <c r="F130" i="3" s="1"/>
  <c r="E124" i="3"/>
  <c r="F124" i="3" s="1"/>
  <c r="E118" i="3"/>
  <c r="F118" i="3" s="1"/>
  <c r="E112" i="3"/>
  <c r="F112" i="3" s="1"/>
  <c r="E106" i="3"/>
  <c r="F106" i="3" s="1"/>
  <c r="E100" i="3"/>
  <c r="F100" i="3" s="1"/>
  <c r="E94" i="3"/>
  <c r="F94" i="3" s="1"/>
  <c r="E88" i="3"/>
  <c r="F88" i="3" s="1"/>
  <c r="E82" i="3"/>
  <c r="F82" i="3" s="1"/>
  <c r="E76" i="3"/>
  <c r="F76" i="3" s="1"/>
  <c r="E70" i="3"/>
  <c r="F70" i="3" s="1"/>
  <c r="E64" i="3"/>
  <c r="F64" i="3" s="1"/>
  <c r="E58" i="3"/>
  <c r="F58" i="3" s="1"/>
  <c r="E52" i="3"/>
  <c r="F52" i="3" s="1"/>
  <c r="E46" i="3"/>
  <c r="F46" i="3" s="1"/>
  <c r="E40" i="3"/>
  <c r="F40" i="3" s="1"/>
  <c r="E34" i="3"/>
  <c r="F34" i="3" s="1"/>
  <c r="E28" i="3"/>
  <c r="F28" i="3" s="1"/>
  <c r="E22" i="3"/>
  <c r="F22" i="3" s="1"/>
  <c r="E16" i="3"/>
  <c r="F16" i="3" s="1"/>
  <c r="E10" i="3"/>
  <c r="F10" i="3" s="1"/>
  <c r="G10" i="3" s="1"/>
  <c r="N15" i="18" s="1"/>
  <c r="H5" i="3"/>
  <c r="Y18" i="3"/>
  <c r="Z23" i="3"/>
  <c r="Y24" i="3"/>
  <c r="Z29" i="3"/>
  <c r="Y30" i="3"/>
  <c r="Z35" i="3"/>
  <c r="Y36" i="3"/>
  <c r="Z41" i="3"/>
  <c r="Y42" i="3"/>
  <c r="Z47" i="3"/>
  <c r="Y48" i="3"/>
  <c r="Z53" i="3"/>
  <c r="Y54" i="3"/>
  <c r="Y60" i="3"/>
  <c r="Z65" i="3"/>
  <c r="Y66" i="3"/>
  <c r="Z71" i="3"/>
  <c r="Y72" i="3"/>
  <c r="Z77" i="3"/>
  <c r="Y78" i="3"/>
  <c r="Z83" i="3"/>
  <c r="Y84" i="3"/>
  <c r="Z89" i="3"/>
  <c r="Y90" i="3"/>
  <c r="Z95" i="3"/>
  <c r="Y96" i="3"/>
  <c r="Z101" i="3"/>
  <c r="Y102" i="3"/>
  <c r="Z107" i="3"/>
  <c r="Y108" i="3"/>
  <c r="Y114" i="3"/>
  <c r="Z119" i="3"/>
  <c r="Y120" i="3"/>
  <c r="Z125" i="3"/>
  <c r="Y126" i="3"/>
  <c r="Z131" i="3"/>
  <c r="Y132" i="3"/>
  <c r="Z137" i="3"/>
  <c r="Y138" i="3"/>
  <c r="Y144" i="3"/>
  <c r="Z149" i="3"/>
  <c r="Y150" i="3"/>
  <c r="Y156" i="3"/>
  <c r="Z161" i="3"/>
  <c r="Y162" i="3"/>
  <c r="Z167" i="3"/>
  <c r="Y168" i="3"/>
  <c r="Z173" i="3"/>
  <c r="Y174" i="3"/>
  <c r="Z179" i="3"/>
  <c r="Y180" i="3"/>
  <c r="AR530" i="8"/>
  <c r="F370" i="3" s="1"/>
  <c r="AR528" i="8"/>
  <c r="F369" i="3" s="1"/>
  <c r="AR526" i="8"/>
  <c r="F368" i="3" s="1"/>
  <c r="AR523" i="8"/>
  <c r="F367" i="3" s="1"/>
  <c r="AR521" i="8"/>
  <c r="F366" i="3" s="1"/>
  <c r="AR519" i="8"/>
  <c r="F365" i="3" s="1"/>
  <c r="AR516" i="8"/>
  <c r="F364" i="3" s="1"/>
  <c r="AR514" i="8"/>
  <c r="F363" i="3" s="1"/>
  <c r="AR512" i="8"/>
  <c r="F362" i="3" s="1"/>
  <c r="AR509" i="8"/>
  <c r="F361" i="3" s="1"/>
  <c r="AR507" i="8"/>
  <c r="F360" i="3" s="1"/>
  <c r="AR505" i="8"/>
  <c r="F359" i="3" s="1"/>
  <c r="AR502" i="8"/>
  <c r="F358" i="3" s="1"/>
  <c r="AR500" i="8"/>
  <c r="F357" i="3" s="1"/>
  <c r="AR498" i="8"/>
  <c r="F356" i="3" s="1"/>
  <c r="AR495" i="8"/>
  <c r="F355" i="3" s="1"/>
  <c r="AR493" i="8"/>
  <c r="F354" i="3" s="1"/>
  <c r="AR491" i="8"/>
  <c r="F353" i="3" s="1"/>
  <c r="AR488" i="8"/>
  <c r="F352" i="3" s="1"/>
  <c r="AR486" i="8"/>
  <c r="F351" i="3" s="1"/>
  <c r="AR484" i="8"/>
  <c r="F350" i="3" s="1"/>
  <c r="AR481" i="8"/>
  <c r="F349" i="3" s="1"/>
  <c r="AR479" i="8"/>
  <c r="F348" i="3" s="1"/>
  <c r="AR477" i="8"/>
  <c r="F347" i="3" s="1"/>
  <c r="AR474" i="8"/>
  <c r="F346" i="3" s="1"/>
  <c r="AR472" i="8"/>
  <c r="F345" i="3" s="1"/>
  <c r="AR470" i="8"/>
  <c r="F344" i="3" s="1"/>
  <c r="AR467" i="8"/>
  <c r="F343" i="3" s="1"/>
  <c r="AR465" i="8"/>
  <c r="F342" i="3" s="1"/>
  <c r="AR463" i="8"/>
  <c r="F341" i="3" s="1"/>
  <c r="AR460" i="8"/>
  <c r="F340" i="3" s="1"/>
  <c r="AR458" i="8"/>
  <c r="F339" i="3" s="1"/>
  <c r="AR456" i="8"/>
  <c r="F338" i="3" s="1"/>
  <c r="AR453" i="8"/>
  <c r="F337" i="3" s="1"/>
  <c r="AR451" i="8"/>
  <c r="F336" i="3" s="1"/>
  <c r="AR449" i="8"/>
  <c r="F335" i="3" s="1"/>
  <c r="AR446" i="8"/>
  <c r="F334" i="3" s="1"/>
  <c r="AR444" i="8"/>
  <c r="F333" i="3" s="1"/>
  <c r="AR442" i="8"/>
  <c r="F332" i="3" s="1"/>
  <c r="AR439" i="8"/>
  <c r="F331" i="3" s="1"/>
  <c r="AR437" i="8"/>
  <c r="F330" i="3" s="1"/>
  <c r="AR435" i="8"/>
  <c r="F329" i="3" s="1"/>
  <c r="AR432" i="8"/>
  <c r="F328" i="3" s="1"/>
  <c r="AR430" i="8"/>
  <c r="F327" i="3" s="1"/>
  <c r="AR428" i="8"/>
  <c r="F326" i="3" s="1"/>
  <c r="AR425" i="8"/>
  <c r="F325" i="3" s="1"/>
  <c r="AR423" i="8"/>
  <c r="F324" i="3" s="1"/>
  <c r="AR421" i="8"/>
  <c r="F323" i="3" s="1"/>
  <c r="AR418" i="8"/>
  <c r="F322" i="3" s="1"/>
  <c r="AR416" i="8"/>
  <c r="F321" i="3" s="1"/>
  <c r="AR414" i="8"/>
  <c r="F320" i="3" s="1"/>
  <c r="AR411" i="8"/>
  <c r="F319" i="3" s="1"/>
  <c r="AR409" i="8"/>
  <c r="F318" i="3" s="1"/>
  <c r="AR407" i="8"/>
  <c r="F317" i="3" s="1"/>
  <c r="AR404" i="8"/>
  <c r="F316" i="3" s="1"/>
  <c r="AR402" i="8"/>
  <c r="F315" i="3" s="1"/>
  <c r="AR400" i="8"/>
  <c r="F314" i="3" s="1"/>
  <c r="AR397" i="8"/>
  <c r="F313" i="3" s="1"/>
  <c r="AR395" i="8"/>
  <c r="F312" i="3" s="1"/>
  <c r="AR393" i="8"/>
  <c r="F311" i="3" s="1"/>
  <c r="AR390" i="8"/>
  <c r="F310" i="3" s="1"/>
  <c r="AR388" i="8"/>
  <c r="F309" i="3" s="1"/>
  <c r="AR386" i="8"/>
  <c r="F308" i="3" s="1"/>
  <c r="AR383" i="8"/>
  <c r="F307" i="3" s="1"/>
  <c r="AR381" i="8"/>
  <c r="F306" i="3" s="1"/>
  <c r="AR379" i="8"/>
  <c r="F305" i="3" s="1"/>
  <c r="AR376" i="8"/>
  <c r="F304" i="3" s="1"/>
  <c r="AR374" i="8"/>
  <c r="F303" i="3" s="1"/>
  <c r="AR372" i="8"/>
  <c r="F302" i="3" s="1"/>
  <c r="AR369" i="8"/>
  <c r="F301" i="3" s="1"/>
  <c r="AR367" i="8"/>
  <c r="F300" i="3" s="1"/>
  <c r="AR365" i="8"/>
  <c r="F299" i="3" s="1"/>
  <c r="AR362" i="8"/>
  <c r="F298" i="3" s="1"/>
  <c r="AR360" i="8"/>
  <c r="F297" i="3" s="1"/>
  <c r="AR358" i="8"/>
  <c r="F296" i="3" s="1"/>
  <c r="AR355" i="8"/>
  <c r="F295" i="3" s="1"/>
  <c r="AR353" i="8"/>
  <c r="F294" i="3" s="1"/>
  <c r="AR351" i="8"/>
  <c r="F293" i="3" s="1"/>
  <c r="AR348" i="8"/>
  <c r="F292" i="3" s="1"/>
  <c r="AR346" i="8"/>
  <c r="F291" i="3" s="1"/>
  <c r="AR344" i="8"/>
  <c r="F290" i="3" s="1"/>
  <c r="AR341" i="8"/>
  <c r="F289" i="3" s="1"/>
  <c r="AR339" i="8"/>
  <c r="F288" i="3" s="1"/>
  <c r="AR337" i="8"/>
  <c r="F287" i="3" s="1"/>
  <c r="AR334" i="8"/>
  <c r="F286" i="3" s="1"/>
  <c r="AR332" i="8"/>
  <c r="F285" i="3" s="1"/>
  <c r="AR330" i="8"/>
  <c r="F284" i="3" s="1"/>
  <c r="Y14" i="14" l="1"/>
  <c r="Y14" i="18"/>
  <c r="G112" i="3"/>
  <c r="Y112" i="3" s="1"/>
  <c r="G94" i="3"/>
  <c r="Y94" i="3" s="1"/>
  <c r="G118" i="3"/>
  <c r="Y118" i="3" s="1"/>
  <c r="G124" i="3"/>
  <c r="Y124" i="3" s="1"/>
  <c r="G100" i="3"/>
  <c r="Y100" i="3" s="1"/>
  <c r="G130" i="3"/>
  <c r="Y130" i="3" s="1"/>
  <c r="G136" i="3"/>
  <c r="Y136" i="3" s="1"/>
  <c r="G142" i="3"/>
  <c r="Y142" i="3" s="1"/>
  <c r="G148" i="3"/>
  <c r="Y148" i="3" s="1"/>
  <c r="G58" i="3"/>
  <c r="Y58" i="3" s="1"/>
  <c r="G154" i="3"/>
  <c r="Y154" i="3" s="1"/>
  <c r="G64" i="3"/>
  <c r="Y64" i="3" s="1"/>
  <c r="G160" i="3"/>
  <c r="Y160" i="3" s="1"/>
  <c r="G106" i="3"/>
  <c r="Y106" i="3" s="1"/>
  <c r="G70" i="3"/>
  <c r="Y70" i="3" s="1"/>
  <c r="G166" i="3"/>
  <c r="Y166" i="3" s="1"/>
  <c r="G76" i="3"/>
  <c r="Y76" i="3" s="1"/>
  <c r="G172" i="3"/>
  <c r="Y172" i="3" s="1"/>
  <c r="G82" i="3"/>
  <c r="Y82" i="3" s="1"/>
  <c r="G178" i="3"/>
  <c r="Y178" i="3" s="1"/>
  <c r="G88" i="3"/>
  <c r="Y88" i="3" s="1"/>
  <c r="G52" i="3"/>
  <c r="Y52" i="3" s="1"/>
  <c r="G46" i="3"/>
  <c r="Y46" i="3" s="1"/>
  <c r="G40" i="3"/>
  <c r="Y40" i="3" s="1"/>
  <c r="G34" i="3"/>
  <c r="Y34" i="3" s="1"/>
  <c r="G28" i="3"/>
  <c r="Y28" i="3" s="1"/>
  <c r="G16" i="3"/>
  <c r="Y16" i="3" s="1"/>
  <c r="G22" i="3"/>
  <c r="Y22" i="3" s="1"/>
  <c r="Y15" i="15"/>
  <c r="Y12" i="3"/>
  <c r="Z11" i="3"/>
  <c r="Y10" i="3"/>
  <c r="Y143" i="3"/>
  <c r="Y17" i="3"/>
  <c r="Y113" i="3"/>
  <c r="Y155" i="3"/>
  <c r="Z155" i="3"/>
  <c r="Y71" i="3"/>
  <c r="Y59" i="3"/>
  <c r="Z17" i="3"/>
  <c r="Z59" i="3"/>
  <c r="Z113" i="3"/>
  <c r="Z143" i="3"/>
  <c r="Y125" i="3"/>
  <c r="Y83" i="3"/>
  <c r="Y167" i="3"/>
  <c r="Y29" i="3"/>
  <c r="Y41" i="3"/>
  <c r="Y95" i="3"/>
  <c r="Y137" i="3"/>
  <c r="Y179" i="3"/>
  <c r="Y53" i="3"/>
  <c r="Y107" i="3"/>
  <c r="Y149" i="3"/>
  <c r="Y11" i="3"/>
  <c r="Y65" i="3"/>
  <c r="Y119" i="3"/>
  <c r="Y161" i="3"/>
  <c r="Y77" i="3"/>
  <c r="Y173" i="3"/>
  <c r="Y23" i="3"/>
  <c r="Y89" i="3"/>
  <c r="Y35" i="3"/>
  <c r="Y131" i="3"/>
  <c r="Y47" i="3"/>
  <c r="Y101" i="3"/>
  <c r="F190" i="3"/>
  <c r="AA182" i="3"/>
  <c r="X182" i="3" s="1"/>
  <c r="AM79" i="8" s="1"/>
  <c r="AA181" i="3"/>
  <c r="X181" i="3" s="1"/>
  <c r="AL79" i="8" s="1"/>
  <c r="AA180" i="3"/>
  <c r="X180" i="3" s="1"/>
  <c r="AK79" i="8" s="1"/>
  <c r="AB179" i="3"/>
  <c r="AA179" i="3"/>
  <c r="AA178" i="3"/>
  <c r="AA176" i="3"/>
  <c r="X176" i="3" s="1"/>
  <c r="AM77" i="8" s="1"/>
  <c r="AA175" i="3"/>
  <c r="X175" i="3" s="1"/>
  <c r="AL77" i="8" s="1"/>
  <c r="AA174" i="3"/>
  <c r="X174" i="3" s="1"/>
  <c r="AK77" i="8" s="1"/>
  <c r="AB173" i="3"/>
  <c r="AA173" i="3"/>
  <c r="AA172" i="3"/>
  <c r="AA170" i="3"/>
  <c r="X170" i="3" s="1"/>
  <c r="AM75" i="8" s="1"/>
  <c r="AA169" i="3"/>
  <c r="X169" i="3" s="1"/>
  <c r="AL75" i="8" s="1"/>
  <c r="AA168" i="3"/>
  <c r="X168" i="3" s="1"/>
  <c r="AK75" i="8" s="1"/>
  <c r="AB167" i="3"/>
  <c r="AA167" i="3"/>
  <c r="AA166" i="3"/>
  <c r="AA164" i="3"/>
  <c r="X164" i="3" s="1"/>
  <c r="AM73" i="8" s="1"/>
  <c r="AA163" i="3"/>
  <c r="X163" i="3" s="1"/>
  <c r="AL73" i="8" s="1"/>
  <c r="AA162" i="3"/>
  <c r="X162" i="3" s="1"/>
  <c r="AK73" i="8" s="1"/>
  <c r="AB161" i="3"/>
  <c r="AA161" i="3"/>
  <c r="AA160" i="3"/>
  <c r="AA158" i="3"/>
  <c r="X158" i="3" s="1"/>
  <c r="AM71" i="8" s="1"/>
  <c r="AA157" i="3"/>
  <c r="X157" i="3" s="1"/>
  <c r="AL71" i="8" s="1"/>
  <c r="AA156" i="3"/>
  <c r="X156" i="3" s="1"/>
  <c r="AK71" i="8" s="1"/>
  <c r="AB155" i="3"/>
  <c r="AA155" i="3"/>
  <c r="AA154" i="3"/>
  <c r="AA152" i="3"/>
  <c r="X152" i="3" s="1"/>
  <c r="AM69" i="8" s="1"/>
  <c r="AA151" i="3"/>
  <c r="X151" i="3" s="1"/>
  <c r="AL69" i="8" s="1"/>
  <c r="AA150" i="3"/>
  <c r="X150" i="3" s="1"/>
  <c r="AK69" i="8" s="1"/>
  <c r="AB149" i="3"/>
  <c r="AA149" i="3"/>
  <c r="AA148" i="3"/>
  <c r="AA146" i="3"/>
  <c r="X146" i="3" s="1"/>
  <c r="AM67" i="8" s="1"/>
  <c r="AA145" i="3"/>
  <c r="X145" i="3" s="1"/>
  <c r="AL67" i="8" s="1"/>
  <c r="AA144" i="3"/>
  <c r="X144" i="3" s="1"/>
  <c r="AK67" i="8" s="1"/>
  <c r="AB143" i="3"/>
  <c r="AA143" i="3"/>
  <c r="AA142" i="3"/>
  <c r="AA140" i="3"/>
  <c r="X140" i="3" s="1"/>
  <c r="AM65" i="8" s="1"/>
  <c r="AA139" i="3"/>
  <c r="X139" i="3" s="1"/>
  <c r="AL65" i="8" s="1"/>
  <c r="AA138" i="3"/>
  <c r="X138" i="3" s="1"/>
  <c r="AK65" i="8" s="1"/>
  <c r="AB137" i="3"/>
  <c r="AA137" i="3"/>
  <c r="AA136" i="3"/>
  <c r="AA134" i="3"/>
  <c r="X134" i="3" s="1"/>
  <c r="AM63" i="8" s="1"/>
  <c r="AA133" i="3"/>
  <c r="X133" i="3" s="1"/>
  <c r="AL63" i="8" s="1"/>
  <c r="AA132" i="3"/>
  <c r="X132" i="3" s="1"/>
  <c r="AK63" i="8" s="1"/>
  <c r="AB131" i="3"/>
  <c r="AA131" i="3"/>
  <c r="AA130" i="3"/>
  <c r="AA128" i="3"/>
  <c r="X128" i="3" s="1"/>
  <c r="AM61" i="8" s="1"/>
  <c r="AA127" i="3"/>
  <c r="X127" i="3" s="1"/>
  <c r="AL61" i="8" s="1"/>
  <c r="AA126" i="3"/>
  <c r="X126" i="3" s="1"/>
  <c r="AK61" i="8" s="1"/>
  <c r="AB125" i="3"/>
  <c r="AA125" i="3"/>
  <c r="AA124" i="3"/>
  <c r="AA122" i="3"/>
  <c r="X122" i="3" s="1"/>
  <c r="AM59" i="8" s="1"/>
  <c r="AA121" i="3"/>
  <c r="X121" i="3" s="1"/>
  <c r="AL59" i="8" s="1"/>
  <c r="AA120" i="3"/>
  <c r="X120" i="3" s="1"/>
  <c r="AK59" i="8" s="1"/>
  <c r="AB119" i="3"/>
  <c r="AA119" i="3"/>
  <c r="AA118" i="3"/>
  <c r="AA116" i="3"/>
  <c r="X116" i="3" s="1"/>
  <c r="AM57" i="8" s="1"/>
  <c r="AA115" i="3"/>
  <c r="X115" i="3" s="1"/>
  <c r="AL57" i="8" s="1"/>
  <c r="AA114" i="3"/>
  <c r="X114" i="3" s="1"/>
  <c r="AK57" i="8" s="1"/>
  <c r="AB113" i="3"/>
  <c r="AA113" i="3"/>
  <c r="AA112" i="3"/>
  <c r="AA110" i="3"/>
  <c r="X110" i="3" s="1"/>
  <c r="AM55" i="8" s="1"/>
  <c r="AA109" i="3"/>
  <c r="X109" i="3" s="1"/>
  <c r="AL55" i="8" s="1"/>
  <c r="AA108" i="3"/>
  <c r="X108" i="3" s="1"/>
  <c r="AK55" i="8" s="1"/>
  <c r="AB107" i="3"/>
  <c r="AA107" i="3"/>
  <c r="AA106" i="3"/>
  <c r="AA104" i="3"/>
  <c r="X104" i="3" s="1"/>
  <c r="AM53" i="8" s="1"/>
  <c r="AA103" i="3"/>
  <c r="X103" i="3" s="1"/>
  <c r="AL53" i="8" s="1"/>
  <c r="AA102" i="3"/>
  <c r="X102" i="3" s="1"/>
  <c r="AK53" i="8" s="1"/>
  <c r="AB101" i="3"/>
  <c r="AA101" i="3"/>
  <c r="AA100" i="3"/>
  <c r="AA98" i="3"/>
  <c r="X98" i="3" s="1"/>
  <c r="AM51" i="8" s="1"/>
  <c r="AA97" i="3"/>
  <c r="X97" i="3" s="1"/>
  <c r="AL51" i="8" s="1"/>
  <c r="AA96" i="3"/>
  <c r="X96" i="3" s="1"/>
  <c r="AK51" i="8" s="1"/>
  <c r="AB95" i="3"/>
  <c r="AA95" i="3"/>
  <c r="AA94" i="3"/>
  <c r="AA92" i="3"/>
  <c r="X92" i="3" s="1"/>
  <c r="AM49" i="8" s="1"/>
  <c r="AA91" i="3"/>
  <c r="X91" i="3" s="1"/>
  <c r="AL49" i="8" s="1"/>
  <c r="AA90" i="3"/>
  <c r="X90" i="3" s="1"/>
  <c r="AK49" i="8" s="1"/>
  <c r="AB89" i="3"/>
  <c r="AA89" i="3"/>
  <c r="AA88" i="3"/>
  <c r="AA86" i="3"/>
  <c r="X86" i="3" s="1"/>
  <c r="AM47" i="8" s="1"/>
  <c r="AA85" i="3"/>
  <c r="X85" i="3" s="1"/>
  <c r="AL47" i="8" s="1"/>
  <c r="AA84" i="3"/>
  <c r="X84" i="3" s="1"/>
  <c r="AK47" i="8" s="1"/>
  <c r="AB83" i="3"/>
  <c r="AA83" i="3"/>
  <c r="AA82" i="3"/>
  <c r="AA80" i="3"/>
  <c r="X80" i="3" s="1"/>
  <c r="AM45" i="8" s="1"/>
  <c r="AA79" i="3"/>
  <c r="X79" i="3" s="1"/>
  <c r="AL45" i="8" s="1"/>
  <c r="AA78" i="3"/>
  <c r="X78" i="3" s="1"/>
  <c r="AK45" i="8" s="1"/>
  <c r="AB77" i="3"/>
  <c r="AA77" i="3"/>
  <c r="AA76" i="3"/>
  <c r="AA74" i="3"/>
  <c r="X74" i="3" s="1"/>
  <c r="AM43" i="8" s="1"/>
  <c r="AA73" i="3"/>
  <c r="X73" i="3" s="1"/>
  <c r="AL43" i="8" s="1"/>
  <c r="AA72" i="3"/>
  <c r="X72" i="3" s="1"/>
  <c r="AK43" i="8" s="1"/>
  <c r="AB71" i="3"/>
  <c r="AA71" i="3"/>
  <c r="AA70" i="3"/>
  <c r="AA68" i="3"/>
  <c r="X68" i="3" s="1"/>
  <c r="AM41" i="8" s="1"/>
  <c r="AA67" i="3"/>
  <c r="X67" i="3" s="1"/>
  <c r="AL41" i="8" s="1"/>
  <c r="AA66" i="3"/>
  <c r="X66" i="3" s="1"/>
  <c r="AK41" i="8" s="1"/>
  <c r="AB65" i="3"/>
  <c r="AA65" i="3"/>
  <c r="AA64"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X178" i="3" l="1"/>
  <c r="AI79" i="8" s="1"/>
  <c r="AH79" i="8" s="1"/>
  <c r="X70" i="3"/>
  <c r="AI43" i="8" s="1"/>
  <c r="AH43" i="8" s="1"/>
  <c r="X166" i="3"/>
  <c r="AI75" i="8" s="1"/>
  <c r="AH75" i="8" s="1"/>
  <c r="X124" i="3"/>
  <c r="AI61" i="8" s="1"/>
  <c r="AH61" i="8" s="1"/>
  <c r="X154" i="3"/>
  <c r="AI71" i="8" s="1"/>
  <c r="AH71" i="8" s="1"/>
  <c r="X64" i="3"/>
  <c r="AI41" i="8" s="1"/>
  <c r="AH41" i="8" s="1"/>
  <c r="X112" i="3"/>
  <c r="AI57" i="8" s="1"/>
  <c r="AH57" i="8" s="1"/>
  <c r="X82" i="3"/>
  <c r="AI47" i="8" s="1"/>
  <c r="AH47" i="8" s="1"/>
  <c r="X142" i="3"/>
  <c r="AI67" i="8" s="1"/>
  <c r="AH67" i="8" s="1"/>
  <c r="X172" i="3"/>
  <c r="AI77" i="8" s="1"/>
  <c r="AH77" i="8" s="1"/>
  <c r="X136" i="3"/>
  <c r="AI65" i="8" s="1"/>
  <c r="AH65" i="8" s="1"/>
  <c r="X100" i="3"/>
  <c r="AI53" i="8" s="1"/>
  <c r="AH53" i="8" s="1"/>
  <c r="X130" i="3"/>
  <c r="AI63" i="8" s="1"/>
  <c r="AH63" i="8" s="1"/>
  <c r="X160" i="3"/>
  <c r="AI73" i="8" s="1"/>
  <c r="AH73" i="8" s="1"/>
  <c r="X88" i="3"/>
  <c r="AI49" i="8" s="1"/>
  <c r="AH49" i="8" s="1"/>
  <c r="X118" i="3"/>
  <c r="AI59" i="8" s="1"/>
  <c r="AH59" i="8" s="1"/>
  <c r="X148" i="3"/>
  <c r="AI69" i="8" s="1"/>
  <c r="AH69" i="8" s="1"/>
  <c r="X94" i="3"/>
  <c r="AI51" i="8" s="1"/>
  <c r="AH51" i="8" s="1"/>
  <c r="X76" i="3"/>
  <c r="AI45" i="8" s="1"/>
  <c r="AH45" i="8" s="1"/>
  <c r="X106" i="3"/>
  <c r="AI55" i="8" s="1"/>
  <c r="AH55" i="8" s="1"/>
  <c r="W103" i="3"/>
  <c r="W158" i="3"/>
  <c r="W157" i="3"/>
  <c r="W84" i="3"/>
  <c r="W121" i="3"/>
  <c r="W134" i="3"/>
  <c r="W133" i="3"/>
  <c r="W126" i="3"/>
  <c r="W97" i="3"/>
  <c r="W110" i="3"/>
  <c r="W109" i="3"/>
  <c r="W86" i="3"/>
  <c r="W85" i="3"/>
  <c r="W66" i="3"/>
  <c r="W176" i="3"/>
  <c r="W150" i="3"/>
  <c r="W151" i="3"/>
  <c r="W127" i="3"/>
  <c r="W163" i="3"/>
  <c r="W78" i="3"/>
  <c r="W139" i="3"/>
  <c r="W72" i="3"/>
  <c r="W162" i="3"/>
  <c r="W120" i="3"/>
  <c r="W79" i="3"/>
  <c r="W74" i="3"/>
  <c r="W115" i="3"/>
  <c r="W114" i="3"/>
  <c r="W164" i="3"/>
  <c r="W91" i="3"/>
  <c r="W175" i="3"/>
  <c r="W170" i="3"/>
  <c r="W144" i="3"/>
  <c r="W140" i="3"/>
  <c r="W168" i="3"/>
  <c r="W152" i="3"/>
  <c r="W146" i="3"/>
  <c r="W116" i="3"/>
  <c r="W128" i="3"/>
  <c r="W122" i="3"/>
  <c r="W96" i="3"/>
  <c r="W102" i="3"/>
  <c r="W92" i="3"/>
  <c r="W104" i="3"/>
  <c r="W98" i="3"/>
  <c r="W138" i="3"/>
  <c r="W80" i="3"/>
  <c r="W108" i="3"/>
  <c r="W90" i="3"/>
  <c r="W132" i="3"/>
  <c r="W180" i="3"/>
  <c r="W169" i="3"/>
  <c r="W174" i="3"/>
  <c r="W156" i="3"/>
  <c r="W67" i="3"/>
  <c r="W182" i="3"/>
  <c r="W181" i="3"/>
  <c r="W178" i="3"/>
  <c r="W145" i="3"/>
  <c r="W73" i="3"/>
  <c r="W68" i="3"/>
  <c r="X173" i="3"/>
  <c r="AJ77" i="8" s="1"/>
  <c r="X77" i="3"/>
  <c r="AJ45" i="8" s="1"/>
  <c r="X107" i="3"/>
  <c r="AJ55" i="8" s="1"/>
  <c r="X71" i="3"/>
  <c r="AJ43" i="8" s="1"/>
  <c r="X149" i="3"/>
  <c r="AJ69" i="8" s="1"/>
  <c r="X167" i="3"/>
  <c r="AJ75" i="8" s="1"/>
  <c r="X161" i="3"/>
  <c r="AJ73" i="8" s="1"/>
  <c r="X179" i="3"/>
  <c r="AJ79" i="8" s="1"/>
  <c r="X137" i="3"/>
  <c r="AJ65" i="8" s="1"/>
  <c r="X83" i="3"/>
  <c r="AJ47" i="8" s="1"/>
  <c r="X101" i="3"/>
  <c r="AJ53" i="8" s="1"/>
  <c r="X89" i="3"/>
  <c r="AJ49" i="8" s="1"/>
  <c r="X95" i="3"/>
  <c r="AJ51" i="8" s="1"/>
  <c r="X125" i="3"/>
  <c r="AJ61" i="8" s="1"/>
  <c r="X119" i="3"/>
  <c r="AJ59" i="8" s="1"/>
  <c r="X131" i="3"/>
  <c r="AJ63" i="8" s="1"/>
  <c r="X65" i="3"/>
  <c r="AJ41" i="8" s="1"/>
  <c r="F205" i="3"/>
  <c r="F225" i="3"/>
  <c r="F245" i="3"/>
  <c r="F265" i="3"/>
  <c r="F226" i="3"/>
  <c r="F227" i="3"/>
  <c r="F266" i="3"/>
  <c r="F208" i="3"/>
  <c r="F228" i="3"/>
  <c r="F248" i="3"/>
  <c r="F268" i="3"/>
  <c r="F206" i="3"/>
  <c r="F247" i="3"/>
  <c r="F209" i="3"/>
  <c r="F229" i="3"/>
  <c r="F249" i="3"/>
  <c r="F269" i="3"/>
  <c r="F246" i="3"/>
  <c r="F210" i="3"/>
  <c r="F230" i="3"/>
  <c r="F250" i="3"/>
  <c r="F270" i="3"/>
  <c r="F207" i="3"/>
  <c r="F267" i="3"/>
  <c r="F211" i="3"/>
  <c r="F231" i="3"/>
  <c r="F251" i="3"/>
  <c r="F271" i="3"/>
  <c r="F212" i="3"/>
  <c r="F232" i="3"/>
  <c r="F252" i="3"/>
  <c r="F272" i="3"/>
  <c r="F193" i="3"/>
  <c r="F213" i="3"/>
  <c r="F233" i="3"/>
  <c r="F253" i="3"/>
  <c r="F273" i="3"/>
  <c r="F194" i="3"/>
  <c r="F214" i="3"/>
  <c r="F234" i="3"/>
  <c r="F254" i="3"/>
  <c r="F274" i="3"/>
  <c r="F195" i="3"/>
  <c r="F215" i="3"/>
  <c r="F235" i="3"/>
  <c r="F255" i="3"/>
  <c r="F275" i="3"/>
  <c r="F276" i="3"/>
  <c r="F198" i="3"/>
  <c r="F218" i="3"/>
  <c r="F238" i="3"/>
  <c r="F258" i="3"/>
  <c r="F196" i="3"/>
  <c r="F257" i="3"/>
  <c r="F199" i="3"/>
  <c r="F219" i="3"/>
  <c r="F239" i="3"/>
  <c r="F259" i="3"/>
  <c r="F216" i="3"/>
  <c r="F217" i="3"/>
  <c r="F200" i="3"/>
  <c r="F220" i="3"/>
  <c r="F240" i="3"/>
  <c r="F260" i="3"/>
  <c r="F236" i="3"/>
  <c r="F237" i="3"/>
  <c r="F201" i="3"/>
  <c r="F221" i="3"/>
  <c r="F241" i="3"/>
  <c r="F261" i="3"/>
  <c r="F256" i="3"/>
  <c r="F202" i="3"/>
  <c r="F222" i="3"/>
  <c r="F242" i="3"/>
  <c r="F262" i="3"/>
  <c r="F203" i="3"/>
  <c r="F223" i="3"/>
  <c r="F243" i="3"/>
  <c r="F263" i="3"/>
  <c r="F197" i="3"/>
  <c r="F204" i="3"/>
  <c r="F224" i="3"/>
  <c r="F244" i="3"/>
  <c r="F264" i="3"/>
  <c r="X143" i="3"/>
  <c r="X113" i="3"/>
  <c r="X155" i="3"/>
  <c r="W166" i="3" l="1"/>
  <c r="W94" i="3"/>
  <c r="W148" i="3"/>
  <c r="W70" i="3"/>
  <c r="W124" i="3"/>
  <c r="W106" i="3"/>
  <c r="W142" i="3"/>
  <c r="W154" i="3"/>
  <c r="W160" i="3"/>
  <c r="W64" i="3"/>
  <c r="W130" i="3"/>
  <c r="W82" i="3"/>
  <c r="W112" i="3"/>
  <c r="W100" i="3"/>
  <c r="W88" i="3"/>
  <c r="W136" i="3"/>
  <c r="W76" i="3"/>
  <c r="W118" i="3"/>
  <c r="W172" i="3"/>
  <c r="W119" i="3"/>
  <c r="W101" i="3"/>
  <c r="W89" i="3"/>
  <c r="W131" i="3"/>
  <c r="W161" i="3"/>
  <c r="W107" i="3"/>
  <c r="W83" i="3"/>
  <c r="W65" i="3"/>
  <c r="W137" i="3"/>
  <c r="W173" i="3"/>
  <c r="W179" i="3"/>
  <c r="W71" i="3"/>
  <c r="W149" i="3"/>
  <c r="W77" i="3"/>
  <c r="W125" i="3"/>
  <c r="W167" i="3"/>
  <c r="W95" i="3"/>
  <c r="AJ67" i="8"/>
  <c r="W143" i="3"/>
  <c r="AJ71" i="8"/>
  <c r="W155" i="3"/>
  <c r="AJ57" i="8"/>
  <c r="W113" i="3"/>
  <c r="F282" i="3"/>
  <c r="F283" i="3"/>
  <c r="F327" i="8" s="1"/>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188" i="3"/>
  <c r="F325" i="8" l="1"/>
  <c r="AR325" i="8" s="1"/>
  <c r="AR327" i="8"/>
  <c r="F188" i="3" l="1"/>
  <c r="U188" i="3" s="1"/>
  <c r="E9" i="3"/>
  <c r="G9" i="3" s="1"/>
  <c r="E8" i="3"/>
  <c r="G8" i="3" s="1"/>
  <c r="E7" i="3"/>
  <c r="G7" i="3" s="1"/>
  <c r="E4" i="3"/>
  <c r="F4" i="3" s="1"/>
  <c r="G4" i="3" s="1"/>
  <c r="AB14" i="18" l="1"/>
  <c r="F21" i="8"/>
  <c r="N14" i="18"/>
  <c r="T188" i="3"/>
  <c r="S188" i="3"/>
  <c r="R188" i="3"/>
  <c r="Q188" i="3"/>
  <c r="O188" i="3"/>
  <c r="M188" i="3"/>
  <c r="L188" i="3"/>
  <c r="G188" i="3"/>
  <c r="N188" i="3"/>
  <c r="AB15" i="15"/>
  <c r="AB14" i="14"/>
  <c r="K188" i="3" l="1"/>
  <c r="J188" i="3"/>
  <c r="I188" i="3"/>
  <c r="H188" i="3"/>
  <c r="P188" i="3"/>
  <c r="Y188" i="3"/>
  <c r="N15" i="15"/>
  <c r="N14" i="14"/>
  <c r="Z60" i="1" l="1"/>
  <c r="AF281" i="3" l="1"/>
  <c r="AB373" i="3"/>
  <c r="AD189" i="3" l="1"/>
  <c r="G283" i="3" l="1"/>
  <c r="G282" i="3"/>
  <c r="G281" i="3"/>
  <c r="I281" i="3"/>
  <c r="I282" i="3"/>
  <c r="I283" i="3"/>
  <c r="H34" i="14" l="1"/>
  <c r="H35" i="14"/>
  <c r="H33" i="14"/>
  <c r="H36" i="14"/>
  <c r="H37" i="14"/>
  <c r="H38" i="14"/>
  <c r="H39" i="14"/>
  <c r="H40" i="14"/>
  <c r="H41" i="14"/>
  <c r="H22" i="14"/>
  <c r="H42" i="14"/>
  <c r="H24" i="15"/>
  <c r="H23" i="14"/>
  <c r="H43" i="14"/>
  <c r="H23" i="15"/>
  <c r="H24" i="14"/>
  <c r="H16" i="14"/>
  <c r="N16" i="14" s="1"/>
  <c r="H22" i="15"/>
  <c r="H25" i="14"/>
  <c r="H17" i="14"/>
  <c r="N17" i="14" s="1"/>
  <c r="H21" i="15"/>
  <c r="H26" i="14"/>
  <c r="H18" i="14"/>
  <c r="H20" i="15"/>
  <c r="H27" i="14"/>
  <c r="H19" i="14"/>
  <c r="H19" i="15"/>
  <c r="H28" i="14"/>
  <c r="H20" i="14"/>
  <c r="H18" i="15"/>
  <c r="H29" i="14"/>
  <c r="H21" i="14"/>
  <c r="H17" i="15"/>
  <c r="H30" i="14"/>
  <c r="H15" i="14"/>
  <c r="H32" i="14"/>
  <c r="H16" i="15"/>
  <c r="H31" i="14"/>
  <c r="D323" i="3"/>
  <c r="D348" i="3"/>
  <c r="D360" i="3"/>
  <c r="D336" i="3"/>
  <c r="D311" i="3"/>
  <c r="D324" i="3"/>
  <c r="D349" i="3"/>
  <c r="D361" i="3"/>
  <c r="D312" i="3"/>
  <c r="D325" i="3"/>
  <c r="D337" i="3"/>
  <c r="D362" i="3"/>
  <c r="D313" i="3"/>
  <c r="D338" i="3"/>
  <c r="D350" i="3"/>
  <c r="D363" i="3"/>
  <c r="D326" i="3"/>
  <c r="D314" i="3"/>
  <c r="D339" i="3"/>
  <c r="D351" i="3"/>
  <c r="D364" i="3"/>
  <c r="D315" i="3"/>
  <c r="D327" i="3"/>
  <c r="D352" i="3"/>
  <c r="D365" i="3"/>
  <c r="D328" i="3"/>
  <c r="D340" i="3"/>
  <c r="D353" i="3"/>
  <c r="D359" i="3"/>
  <c r="D316" i="3"/>
  <c r="D366" i="3"/>
  <c r="D329" i="3"/>
  <c r="D341" i="3"/>
  <c r="D354" i="3"/>
  <c r="D317" i="3"/>
  <c r="D342" i="3"/>
  <c r="D355" i="3"/>
  <c r="D367" i="3"/>
  <c r="D318" i="3"/>
  <c r="D330" i="3"/>
  <c r="D343" i="3"/>
  <c r="D368" i="3"/>
  <c r="D356" i="3"/>
  <c r="D319" i="3"/>
  <c r="D331" i="3"/>
  <c r="D344" i="3"/>
  <c r="D369" i="3"/>
  <c r="D332" i="3"/>
  <c r="D345" i="3"/>
  <c r="D357" i="3"/>
  <c r="D321" i="3"/>
  <c r="D320" i="3"/>
  <c r="D333" i="3"/>
  <c r="D358" i="3"/>
  <c r="D370" i="3"/>
  <c r="D346" i="3"/>
  <c r="D334" i="3"/>
  <c r="D322" i="3"/>
  <c r="D335" i="3"/>
  <c r="D347" i="3"/>
  <c r="E193" i="3"/>
  <c r="U193" i="3" s="1"/>
  <c r="E194" i="3"/>
  <c r="U194" i="3" s="1"/>
  <c r="E214" i="3"/>
  <c r="U214" i="3" s="1"/>
  <c r="E234" i="3"/>
  <c r="U234" i="3" s="1"/>
  <c r="E254" i="3"/>
  <c r="U254" i="3" s="1"/>
  <c r="E274" i="3"/>
  <c r="U274" i="3" s="1"/>
  <c r="E195" i="3"/>
  <c r="U195" i="3" s="1"/>
  <c r="E215" i="3"/>
  <c r="U215" i="3" s="1"/>
  <c r="E235" i="3"/>
  <c r="U235" i="3" s="1"/>
  <c r="E255" i="3"/>
  <c r="U255" i="3" s="1"/>
  <c r="E275" i="3"/>
  <c r="U275" i="3" s="1"/>
  <c r="E196" i="3"/>
  <c r="U196" i="3" s="1"/>
  <c r="E216" i="3"/>
  <c r="U216" i="3" s="1"/>
  <c r="E236" i="3"/>
  <c r="U236" i="3" s="1"/>
  <c r="E256" i="3"/>
  <c r="U256" i="3" s="1"/>
  <c r="E276" i="3"/>
  <c r="U276" i="3" s="1"/>
  <c r="E252" i="3"/>
  <c r="U252" i="3" s="1"/>
  <c r="E197" i="3"/>
  <c r="U197" i="3" s="1"/>
  <c r="E217" i="3"/>
  <c r="U217" i="3" s="1"/>
  <c r="E237" i="3"/>
  <c r="U237" i="3" s="1"/>
  <c r="E257" i="3"/>
  <c r="U257" i="3" s="1"/>
  <c r="E198" i="3"/>
  <c r="U198" i="3" s="1"/>
  <c r="E218" i="3"/>
  <c r="U218" i="3" s="1"/>
  <c r="E238" i="3"/>
  <c r="U238" i="3" s="1"/>
  <c r="E258" i="3"/>
  <c r="U258" i="3" s="1"/>
  <c r="E199" i="3"/>
  <c r="U199" i="3" s="1"/>
  <c r="E219" i="3"/>
  <c r="U219" i="3" s="1"/>
  <c r="E239" i="3"/>
  <c r="U239" i="3" s="1"/>
  <c r="E259" i="3"/>
  <c r="U259" i="3" s="1"/>
  <c r="E229" i="3"/>
  <c r="U229" i="3" s="1"/>
  <c r="E272" i="3"/>
  <c r="U272" i="3" s="1"/>
  <c r="E213" i="3"/>
  <c r="U213" i="3" s="1"/>
  <c r="E273" i="3"/>
  <c r="U273" i="3" s="1"/>
  <c r="E200" i="3"/>
  <c r="U200" i="3" s="1"/>
  <c r="E220" i="3"/>
  <c r="U220" i="3" s="1"/>
  <c r="E240" i="3"/>
  <c r="U240" i="3" s="1"/>
  <c r="E260" i="3"/>
  <c r="U260" i="3" s="1"/>
  <c r="E203" i="3"/>
  <c r="U203" i="3" s="1"/>
  <c r="E263" i="3"/>
  <c r="U263" i="3" s="1"/>
  <c r="E225" i="3"/>
  <c r="U225" i="3" s="1"/>
  <c r="E266" i="3"/>
  <c r="U266" i="3" s="1"/>
  <c r="E249" i="3"/>
  <c r="U249" i="3" s="1"/>
  <c r="E251" i="3"/>
  <c r="U251" i="3" s="1"/>
  <c r="E201" i="3"/>
  <c r="U201" i="3" s="1"/>
  <c r="E221" i="3"/>
  <c r="U221" i="3" s="1"/>
  <c r="E241" i="3"/>
  <c r="U241" i="3" s="1"/>
  <c r="E261" i="3"/>
  <c r="U261" i="3" s="1"/>
  <c r="E223" i="3"/>
  <c r="U223" i="3" s="1"/>
  <c r="E205" i="3"/>
  <c r="U205" i="3" s="1"/>
  <c r="E246" i="3"/>
  <c r="U246" i="3" s="1"/>
  <c r="E269" i="3"/>
  <c r="U269" i="3" s="1"/>
  <c r="E271" i="3"/>
  <c r="U271" i="3" s="1"/>
  <c r="E202" i="3"/>
  <c r="U202" i="3" s="1"/>
  <c r="E222" i="3"/>
  <c r="U222" i="3" s="1"/>
  <c r="E242" i="3"/>
  <c r="U242" i="3" s="1"/>
  <c r="E262" i="3"/>
  <c r="U262" i="3" s="1"/>
  <c r="E243" i="3"/>
  <c r="U243" i="3" s="1"/>
  <c r="E245" i="3"/>
  <c r="U245" i="3" s="1"/>
  <c r="E226" i="3"/>
  <c r="U226" i="3" s="1"/>
  <c r="E211" i="3"/>
  <c r="U211" i="3" s="1"/>
  <c r="E204" i="3"/>
  <c r="U204" i="3" s="1"/>
  <c r="E224" i="3"/>
  <c r="U224" i="3" s="1"/>
  <c r="E244" i="3"/>
  <c r="U244" i="3" s="1"/>
  <c r="E264" i="3"/>
  <c r="U264" i="3" s="1"/>
  <c r="E265" i="3"/>
  <c r="U265" i="3" s="1"/>
  <c r="E206" i="3"/>
  <c r="U206" i="3" s="1"/>
  <c r="E232" i="3"/>
  <c r="U232" i="3" s="1"/>
  <c r="E207" i="3"/>
  <c r="U207" i="3" s="1"/>
  <c r="E227" i="3"/>
  <c r="U227" i="3" s="1"/>
  <c r="E247" i="3"/>
  <c r="U247" i="3" s="1"/>
  <c r="E267" i="3"/>
  <c r="U267" i="3" s="1"/>
  <c r="E208" i="3"/>
  <c r="U208" i="3" s="1"/>
  <c r="E228" i="3"/>
  <c r="U228" i="3" s="1"/>
  <c r="E248" i="3"/>
  <c r="U248" i="3" s="1"/>
  <c r="E268" i="3"/>
  <c r="U268" i="3" s="1"/>
  <c r="E209" i="3"/>
  <c r="U209" i="3" s="1"/>
  <c r="E231" i="3"/>
  <c r="U231" i="3" s="1"/>
  <c r="E233" i="3"/>
  <c r="U233" i="3" s="1"/>
  <c r="E253" i="3"/>
  <c r="U253" i="3" s="1"/>
  <c r="E210" i="3"/>
  <c r="U210" i="3" s="1"/>
  <c r="E230" i="3"/>
  <c r="U230" i="3" s="1"/>
  <c r="E250" i="3"/>
  <c r="U250" i="3" s="1"/>
  <c r="E270" i="3"/>
  <c r="U270" i="3" s="1"/>
  <c r="E212" i="3"/>
  <c r="U212" i="3" s="1"/>
  <c r="C396" i="3"/>
  <c r="C402" i="3"/>
  <c r="C390" i="3"/>
  <c r="C393" i="3"/>
  <c r="C395" i="3"/>
  <c r="C387" i="3"/>
  <c r="C384" i="3"/>
  <c r="C400" i="3"/>
  <c r="C391" i="3"/>
  <c r="C386" i="3"/>
  <c r="C399" i="3"/>
  <c r="C394" i="3"/>
  <c r="C397" i="3"/>
  <c r="C392" i="3"/>
  <c r="C385" i="3"/>
  <c r="C388" i="3"/>
  <c r="C398" i="3"/>
  <c r="C389" i="3"/>
  <c r="C383" i="3"/>
  <c r="C401" i="3"/>
  <c r="C378" i="3"/>
  <c r="C379" i="3"/>
  <c r="C380" i="3"/>
  <c r="C381" i="3"/>
  <c r="C382" i="3"/>
  <c r="C376" i="3"/>
  <c r="C374" i="3"/>
  <c r="C377" i="3"/>
  <c r="C375" i="3"/>
  <c r="D298" i="3"/>
  <c r="D299" i="3"/>
  <c r="D300" i="3"/>
  <c r="D301" i="3"/>
  <c r="D302" i="3"/>
  <c r="D283" i="3"/>
  <c r="D303" i="3"/>
  <c r="D284" i="3"/>
  <c r="D304" i="3"/>
  <c r="D285" i="3"/>
  <c r="D305" i="3"/>
  <c r="D286" i="3"/>
  <c r="D306" i="3"/>
  <c r="D287" i="3"/>
  <c r="D307" i="3"/>
  <c r="D288" i="3"/>
  <c r="D308" i="3"/>
  <c r="D289" i="3"/>
  <c r="D309" i="3"/>
  <c r="D290" i="3"/>
  <c r="D310" i="3"/>
  <c r="D291" i="3"/>
  <c r="D282" i="3"/>
  <c r="D292" i="3"/>
  <c r="D293" i="3"/>
  <c r="D294" i="3"/>
  <c r="D295" i="3"/>
  <c r="D296" i="3"/>
  <c r="D297" i="3"/>
  <c r="E190" i="3"/>
  <c r="U190" i="3" s="1"/>
  <c r="E191" i="3"/>
  <c r="U191" i="3" s="1"/>
  <c r="E192" i="3"/>
  <c r="U192" i="3" s="1"/>
  <c r="T205" i="3" l="1"/>
  <c r="S205" i="3"/>
  <c r="R205" i="3"/>
  <c r="Q205" i="3"/>
  <c r="T236" i="3"/>
  <c r="S236" i="3"/>
  <c r="R236" i="3"/>
  <c r="Q236" i="3"/>
  <c r="T193" i="3"/>
  <c r="S193" i="3"/>
  <c r="Q193" i="3"/>
  <c r="R193" i="3"/>
  <c r="T270" i="3"/>
  <c r="S270" i="3"/>
  <c r="R270" i="3"/>
  <c r="Q270" i="3"/>
  <c r="T226" i="3"/>
  <c r="S226" i="3"/>
  <c r="R226" i="3"/>
  <c r="Q226" i="3"/>
  <c r="T216" i="3"/>
  <c r="S216" i="3"/>
  <c r="R216" i="3"/>
  <c r="Q216" i="3"/>
  <c r="T250" i="3"/>
  <c r="R250" i="3"/>
  <c r="S250" i="3"/>
  <c r="Q250" i="3"/>
  <c r="Q267" i="3"/>
  <c r="T267" i="3"/>
  <c r="S267" i="3"/>
  <c r="R267" i="3"/>
  <c r="T223" i="3"/>
  <c r="S223" i="3"/>
  <c r="Q223" i="3"/>
  <c r="R223" i="3"/>
  <c r="T260" i="3"/>
  <c r="R260" i="3"/>
  <c r="S260" i="3"/>
  <c r="Q260" i="3"/>
  <c r="T258" i="3"/>
  <c r="S258" i="3"/>
  <c r="Q258" i="3"/>
  <c r="R258" i="3"/>
  <c r="T196" i="3"/>
  <c r="S196" i="3"/>
  <c r="R196" i="3"/>
  <c r="Q196" i="3"/>
  <c r="T230" i="3"/>
  <c r="R230" i="3"/>
  <c r="S230" i="3"/>
  <c r="Q230" i="3"/>
  <c r="Q247" i="3"/>
  <c r="T247" i="3"/>
  <c r="S247" i="3"/>
  <c r="R247" i="3"/>
  <c r="T245" i="3"/>
  <c r="S245" i="3"/>
  <c r="R245" i="3"/>
  <c r="Q245" i="3"/>
  <c r="T240" i="3"/>
  <c r="R240" i="3"/>
  <c r="S240" i="3"/>
  <c r="Q240" i="3"/>
  <c r="T238" i="3"/>
  <c r="S238" i="3"/>
  <c r="Q238" i="3"/>
  <c r="R238" i="3"/>
  <c r="T210" i="3"/>
  <c r="R210" i="3"/>
  <c r="S210" i="3"/>
  <c r="Q210" i="3"/>
  <c r="Q227" i="3"/>
  <c r="T227" i="3"/>
  <c r="S227" i="3"/>
  <c r="R227" i="3"/>
  <c r="T220" i="3"/>
  <c r="R220" i="3"/>
  <c r="S220" i="3"/>
  <c r="Q220" i="3"/>
  <c r="T218" i="3"/>
  <c r="S218" i="3"/>
  <c r="R218" i="3"/>
  <c r="Q218" i="3"/>
  <c r="T207" i="3"/>
  <c r="S207" i="3"/>
  <c r="Q207" i="3"/>
  <c r="R207" i="3"/>
  <c r="T243" i="3"/>
  <c r="S243" i="3"/>
  <c r="R243" i="3"/>
  <c r="Q243" i="3"/>
  <c r="T200" i="3"/>
  <c r="R200" i="3"/>
  <c r="S200" i="3"/>
  <c r="Q200" i="3"/>
  <c r="T198" i="3"/>
  <c r="S198" i="3"/>
  <c r="R198" i="3"/>
  <c r="Q198" i="3"/>
  <c r="T253" i="3"/>
  <c r="S253" i="3"/>
  <c r="R253" i="3"/>
  <c r="Q253" i="3"/>
  <c r="T232" i="3"/>
  <c r="Q232" i="3"/>
  <c r="S232" i="3"/>
  <c r="R232" i="3"/>
  <c r="T261" i="3"/>
  <c r="S261" i="3"/>
  <c r="R261" i="3"/>
  <c r="Q261" i="3"/>
  <c r="T275" i="3"/>
  <c r="R275" i="3"/>
  <c r="S275" i="3"/>
  <c r="Q275" i="3"/>
  <c r="T233" i="3"/>
  <c r="S233" i="3"/>
  <c r="R233" i="3"/>
  <c r="Q233" i="3"/>
  <c r="T241" i="3"/>
  <c r="S241" i="3"/>
  <c r="R241" i="3"/>
  <c r="Q241" i="3"/>
  <c r="T273" i="3"/>
  <c r="S273" i="3"/>
  <c r="Q273" i="3"/>
  <c r="R273" i="3"/>
  <c r="T255" i="3"/>
  <c r="S255" i="3"/>
  <c r="R255" i="3"/>
  <c r="Q255" i="3"/>
  <c r="T221" i="3"/>
  <c r="S221" i="3"/>
  <c r="R221" i="3"/>
  <c r="Q221" i="3"/>
  <c r="T213" i="3"/>
  <c r="S213" i="3"/>
  <c r="Q213" i="3"/>
  <c r="R213" i="3"/>
  <c r="T235" i="3"/>
  <c r="S235" i="3"/>
  <c r="R235" i="3"/>
  <c r="Q235" i="3"/>
  <c r="T231" i="3"/>
  <c r="S231" i="3"/>
  <c r="R231" i="3"/>
  <c r="Q231" i="3"/>
  <c r="Q262" i="3"/>
  <c r="S262" i="3"/>
  <c r="T262" i="3"/>
  <c r="R262" i="3"/>
  <c r="T201" i="3"/>
  <c r="S201" i="3"/>
  <c r="Q201" i="3"/>
  <c r="R201" i="3"/>
  <c r="S272" i="3"/>
  <c r="Q272" i="3"/>
  <c r="T272" i="3"/>
  <c r="R272" i="3"/>
  <c r="Q257" i="3"/>
  <c r="S257" i="3"/>
  <c r="T257" i="3"/>
  <c r="R257" i="3"/>
  <c r="T215" i="3"/>
  <c r="S215" i="3"/>
  <c r="R215" i="3"/>
  <c r="Q215" i="3"/>
  <c r="T206" i="3"/>
  <c r="S206" i="3"/>
  <c r="R206" i="3"/>
  <c r="Q206" i="3"/>
  <c r="Q242" i="3"/>
  <c r="T242" i="3"/>
  <c r="S242" i="3"/>
  <c r="R242" i="3"/>
  <c r="S237" i="3"/>
  <c r="Q237" i="3"/>
  <c r="T237" i="3"/>
  <c r="R237" i="3"/>
  <c r="T195" i="3"/>
  <c r="S195" i="3"/>
  <c r="R195" i="3"/>
  <c r="Q195" i="3"/>
  <c r="S209" i="3"/>
  <c r="R209" i="3"/>
  <c r="T209" i="3"/>
  <c r="Q209" i="3"/>
  <c r="T265" i="3"/>
  <c r="R265" i="3"/>
  <c r="S265" i="3"/>
  <c r="Q265" i="3"/>
  <c r="Q222" i="3"/>
  <c r="S222" i="3"/>
  <c r="T222" i="3"/>
  <c r="R222" i="3"/>
  <c r="T251" i="3"/>
  <c r="S251" i="3"/>
  <c r="R251" i="3"/>
  <c r="Q251" i="3"/>
  <c r="S229" i="3"/>
  <c r="R229" i="3"/>
  <c r="T229" i="3"/>
  <c r="Q229" i="3"/>
  <c r="S217" i="3"/>
  <c r="T217" i="3"/>
  <c r="R217" i="3"/>
  <c r="Q217" i="3"/>
  <c r="S202" i="3"/>
  <c r="Q202" i="3"/>
  <c r="T202" i="3"/>
  <c r="R202" i="3"/>
  <c r="S249" i="3"/>
  <c r="T249" i="3"/>
  <c r="R249" i="3"/>
  <c r="Q249" i="3"/>
  <c r="Q197" i="3"/>
  <c r="S197" i="3"/>
  <c r="T197" i="3"/>
  <c r="R197" i="3"/>
  <c r="T266" i="3"/>
  <c r="S266" i="3"/>
  <c r="R266" i="3"/>
  <c r="Q266" i="3"/>
  <c r="S252" i="3"/>
  <c r="T252" i="3"/>
  <c r="Q252" i="3"/>
  <c r="R252" i="3"/>
  <c r="Q192" i="3"/>
  <c r="T192" i="3"/>
  <c r="S192" i="3"/>
  <c r="R192" i="3"/>
  <c r="T271" i="3"/>
  <c r="S271" i="3"/>
  <c r="R271" i="3"/>
  <c r="Q271" i="3"/>
  <c r="T274" i="3"/>
  <c r="S274" i="3"/>
  <c r="R274" i="3"/>
  <c r="Q274" i="3"/>
  <c r="T191" i="3"/>
  <c r="S191" i="3"/>
  <c r="R191" i="3"/>
  <c r="Q191" i="3"/>
  <c r="T268" i="3"/>
  <c r="S268" i="3"/>
  <c r="Q268" i="3"/>
  <c r="R268" i="3"/>
  <c r="T264" i="3"/>
  <c r="S264" i="3"/>
  <c r="R264" i="3"/>
  <c r="Q264" i="3"/>
  <c r="S269" i="3"/>
  <c r="R269" i="3"/>
  <c r="T269" i="3"/>
  <c r="Q269" i="3"/>
  <c r="T225" i="3"/>
  <c r="S225" i="3"/>
  <c r="R225" i="3"/>
  <c r="Q225" i="3"/>
  <c r="R259" i="3"/>
  <c r="S259" i="3"/>
  <c r="T259" i="3"/>
  <c r="Q259" i="3"/>
  <c r="R254" i="3"/>
  <c r="T254" i="3"/>
  <c r="S254" i="3"/>
  <c r="Q254" i="3"/>
  <c r="T248" i="3"/>
  <c r="S248" i="3"/>
  <c r="Q248" i="3"/>
  <c r="R248" i="3"/>
  <c r="R244" i="3"/>
  <c r="T244" i="3"/>
  <c r="S244" i="3"/>
  <c r="Q244" i="3"/>
  <c r="R239" i="3"/>
  <c r="S239" i="3"/>
  <c r="T239" i="3"/>
  <c r="Q239" i="3"/>
  <c r="T234" i="3"/>
  <c r="S234" i="3"/>
  <c r="R234" i="3"/>
  <c r="Q234" i="3"/>
  <c r="Q212" i="3"/>
  <c r="T212" i="3"/>
  <c r="S212" i="3"/>
  <c r="R212" i="3"/>
  <c r="T228" i="3"/>
  <c r="S228" i="3"/>
  <c r="Q228" i="3"/>
  <c r="R228" i="3"/>
  <c r="R224" i="3"/>
  <c r="T224" i="3"/>
  <c r="S224" i="3"/>
  <c r="Q224" i="3"/>
  <c r="T263" i="3"/>
  <c r="S263" i="3"/>
  <c r="R263" i="3"/>
  <c r="Q263" i="3"/>
  <c r="S219" i="3"/>
  <c r="T219" i="3"/>
  <c r="R219" i="3"/>
  <c r="Q219" i="3"/>
  <c r="R214" i="3"/>
  <c r="T214" i="3"/>
  <c r="S214" i="3"/>
  <c r="Q214" i="3"/>
  <c r="T208" i="3"/>
  <c r="S208" i="3"/>
  <c r="R208" i="3"/>
  <c r="Q208" i="3"/>
  <c r="T204" i="3"/>
  <c r="S204" i="3"/>
  <c r="R204" i="3"/>
  <c r="Q204" i="3"/>
  <c r="T246" i="3"/>
  <c r="S246" i="3"/>
  <c r="R246" i="3"/>
  <c r="Q246" i="3"/>
  <c r="T203" i="3"/>
  <c r="S203" i="3"/>
  <c r="Q203" i="3"/>
  <c r="R203" i="3"/>
  <c r="R199" i="3"/>
  <c r="S199" i="3"/>
  <c r="T199" i="3"/>
  <c r="Q199" i="3"/>
  <c r="T276" i="3"/>
  <c r="S276" i="3"/>
  <c r="R276" i="3"/>
  <c r="Q276" i="3"/>
  <c r="T194" i="3"/>
  <c r="S194" i="3"/>
  <c r="R194" i="3"/>
  <c r="Q194" i="3"/>
  <c r="T190" i="3"/>
  <c r="R190" i="3"/>
  <c r="S190" i="3"/>
  <c r="Q190" i="3"/>
  <c r="T211" i="3"/>
  <c r="S211" i="3"/>
  <c r="R211" i="3"/>
  <c r="Q211" i="3"/>
  <c r="T256" i="3"/>
  <c r="S256" i="3"/>
  <c r="R256" i="3"/>
  <c r="Q256" i="3"/>
  <c r="N205" i="3"/>
  <c r="L205" i="3"/>
  <c r="O205" i="3"/>
  <c r="M205" i="3"/>
  <c r="G205" i="3"/>
  <c r="O236" i="3"/>
  <c r="M236" i="3"/>
  <c r="G236" i="3"/>
  <c r="L236" i="3"/>
  <c r="N236" i="3"/>
  <c r="O193" i="3"/>
  <c r="M193" i="3"/>
  <c r="G193" i="3"/>
  <c r="N193" i="3"/>
  <c r="L193" i="3"/>
  <c r="O270" i="3"/>
  <c r="M270" i="3"/>
  <c r="N270" i="3"/>
  <c r="L270" i="3"/>
  <c r="G270" i="3"/>
  <c r="N226" i="3"/>
  <c r="L226" i="3"/>
  <c r="O226" i="3"/>
  <c r="M226" i="3"/>
  <c r="G226" i="3"/>
  <c r="O216" i="3"/>
  <c r="M216" i="3"/>
  <c r="G216" i="3"/>
  <c r="N216" i="3"/>
  <c r="L216" i="3"/>
  <c r="O250" i="3"/>
  <c r="M250" i="3"/>
  <c r="N250" i="3"/>
  <c r="L250" i="3"/>
  <c r="G250" i="3"/>
  <c r="O267" i="3"/>
  <c r="M267" i="3"/>
  <c r="N267" i="3"/>
  <c r="L267" i="3"/>
  <c r="G267" i="3"/>
  <c r="G223" i="3"/>
  <c r="N223" i="3"/>
  <c r="L223" i="3"/>
  <c r="O223" i="3"/>
  <c r="M223" i="3"/>
  <c r="N260" i="3"/>
  <c r="L260" i="3"/>
  <c r="O260" i="3"/>
  <c r="M260" i="3"/>
  <c r="G260" i="3"/>
  <c r="N258" i="3"/>
  <c r="L258" i="3"/>
  <c r="G258" i="3"/>
  <c r="O258" i="3"/>
  <c r="M258" i="3"/>
  <c r="O196" i="3"/>
  <c r="M196" i="3"/>
  <c r="G196" i="3"/>
  <c r="N196" i="3"/>
  <c r="L196" i="3"/>
  <c r="O230" i="3"/>
  <c r="M230" i="3"/>
  <c r="N230" i="3"/>
  <c r="L230" i="3"/>
  <c r="G230" i="3"/>
  <c r="O247" i="3"/>
  <c r="M247" i="3"/>
  <c r="N247" i="3"/>
  <c r="L247" i="3"/>
  <c r="G247" i="3"/>
  <c r="N245" i="3"/>
  <c r="L245" i="3"/>
  <c r="O245" i="3"/>
  <c r="M245" i="3"/>
  <c r="G245" i="3"/>
  <c r="L240" i="3"/>
  <c r="N240" i="3"/>
  <c r="O240" i="3"/>
  <c r="M240" i="3"/>
  <c r="G240" i="3"/>
  <c r="N238" i="3"/>
  <c r="L238" i="3"/>
  <c r="G238" i="3"/>
  <c r="O238" i="3"/>
  <c r="M238" i="3"/>
  <c r="O210" i="3"/>
  <c r="M210" i="3"/>
  <c r="N210" i="3"/>
  <c r="L210" i="3"/>
  <c r="G210" i="3"/>
  <c r="O227" i="3"/>
  <c r="M227" i="3"/>
  <c r="N227" i="3"/>
  <c r="L227" i="3"/>
  <c r="G227" i="3"/>
  <c r="N220" i="3"/>
  <c r="L220" i="3"/>
  <c r="O220" i="3"/>
  <c r="M220" i="3"/>
  <c r="G220" i="3"/>
  <c r="N218" i="3"/>
  <c r="L218" i="3"/>
  <c r="G218" i="3"/>
  <c r="O218" i="3"/>
  <c r="M218" i="3"/>
  <c r="O207" i="3"/>
  <c r="M207" i="3"/>
  <c r="N207" i="3"/>
  <c r="L207" i="3"/>
  <c r="G207" i="3"/>
  <c r="G243" i="3"/>
  <c r="N243" i="3"/>
  <c r="L243" i="3"/>
  <c r="O243" i="3"/>
  <c r="M243" i="3"/>
  <c r="N200" i="3"/>
  <c r="L200" i="3"/>
  <c r="O200" i="3"/>
  <c r="M200" i="3"/>
  <c r="G200" i="3"/>
  <c r="N198" i="3"/>
  <c r="L198" i="3"/>
  <c r="G198" i="3"/>
  <c r="O198" i="3"/>
  <c r="M198" i="3"/>
  <c r="O232" i="3"/>
  <c r="M232" i="3"/>
  <c r="G232" i="3"/>
  <c r="N232" i="3"/>
  <c r="L232" i="3"/>
  <c r="N261" i="3"/>
  <c r="L261" i="3"/>
  <c r="O261" i="3"/>
  <c r="M261" i="3"/>
  <c r="G261" i="3"/>
  <c r="O275" i="3"/>
  <c r="M275" i="3"/>
  <c r="G275" i="3"/>
  <c r="N275" i="3"/>
  <c r="L275" i="3"/>
  <c r="O233" i="3"/>
  <c r="M233" i="3"/>
  <c r="G233" i="3"/>
  <c r="N233" i="3"/>
  <c r="L233" i="3"/>
  <c r="N241" i="3"/>
  <c r="L241" i="3"/>
  <c r="O241" i="3"/>
  <c r="M241" i="3"/>
  <c r="G241" i="3"/>
  <c r="O273" i="3"/>
  <c r="M273" i="3"/>
  <c r="G273" i="3"/>
  <c r="N273" i="3"/>
  <c r="L273" i="3"/>
  <c r="O255" i="3"/>
  <c r="M255" i="3"/>
  <c r="G255" i="3"/>
  <c r="N255" i="3"/>
  <c r="L255" i="3"/>
  <c r="N221" i="3"/>
  <c r="L221" i="3"/>
  <c r="O221" i="3"/>
  <c r="M221" i="3"/>
  <c r="G221" i="3"/>
  <c r="O213" i="3"/>
  <c r="M213" i="3"/>
  <c r="G213" i="3"/>
  <c r="N213" i="3"/>
  <c r="L213" i="3"/>
  <c r="O235" i="3"/>
  <c r="M235" i="3"/>
  <c r="G235" i="3"/>
  <c r="N235" i="3"/>
  <c r="L235" i="3"/>
  <c r="O253" i="3"/>
  <c r="M253" i="3"/>
  <c r="G253" i="3"/>
  <c r="N253" i="3"/>
  <c r="L253" i="3"/>
  <c r="O231" i="3"/>
  <c r="M231" i="3"/>
  <c r="G231" i="3"/>
  <c r="N231" i="3"/>
  <c r="L231" i="3"/>
  <c r="G262" i="3"/>
  <c r="N262" i="3"/>
  <c r="L262" i="3"/>
  <c r="O262" i="3"/>
  <c r="M262" i="3"/>
  <c r="N201" i="3"/>
  <c r="L201" i="3"/>
  <c r="O201" i="3"/>
  <c r="M201" i="3"/>
  <c r="G201" i="3"/>
  <c r="O272" i="3"/>
  <c r="M272" i="3"/>
  <c r="G272" i="3"/>
  <c r="N272" i="3"/>
  <c r="L272" i="3"/>
  <c r="N257" i="3"/>
  <c r="L257" i="3"/>
  <c r="O257" i="3"/>
  <c r="M257" i="3"/>
  <c r="G257" i="3"/>
  <c r="O215" i="3"/>
  <c r="M215" i="3"/>
  <c r="G215" i="3"/>
  <c r="N215" i="3"/>
  <c r="L215" i="3"/>
  <c r="N206" i="3"/>
  <c r="L206" i="3"/>
  <c r="O206" i="3"/>
  <c r="M206" i="3"/>
  <c r="G206" i="3"/>
  <c r="G242" i="3"/>
  <c r="N242" i="3"/>
  <c r="L242" i="3"/>
  <c r="O242" i="3"/>
  <c r="M242" i="3"/>
  <c r="N237" i="3"/>
  <c r="L237" i="3"/>
  <c r="O237" i="3"/>
  <c r="M237" i="3"/>
  <c r="G237" i="3"/>
  <c r="O195" i="3"/>
  <c r="M195" i="3"/>
  <c r="G195" i="3"/>
  <c r="N195" i="3"/>
  <c r="L195" i="3"/>
  <c r="O209" i="3"/>
  <c r="M209" i="3"/>
  <c r="N209" i="3"/>
  <c r="L209" i="3"/>
  <c r="G209" i="3"/>
  <c r="N265" i="3"/>
  <c r="L265" i="3"/>
  <c r="O265" i="3"/>
  <c r="M265" i="3"/>
  <c r="G265" i="3"/>
  <c r="G222" i="3"/>
  <c r="N222" i="3"/>
  <c r="L222" i="3"/>
  <c r="O222" i="3"/>
  <c r="M222" i="3"/>
  <c r="O251" i="3"/>
  <c r="M251" i="3"/>
  <c r="G251" i="3"/>
  <c r="N251" i="3"/>
  <c r="L251" i="3"/>
  <c r="O229" i="3"/>
  <c r="M229" i="3"/>
  <c r="N229" i="3"/>
  <c r="L229" i="3"/>
  <c r="G229" i="3"/>
  <c r="N217" i="3"/>
  <c r="L217" i="3"/>
  <c r="O217" i="3"/>
  <c r="M217" i="3"/>
  <c r="G217" i="3"/>
  <c r="G202" i="3"/>
  <c r="N202" i="3"/>
  <c r="L202" i="3"/>
  <c r="O202" i="3"/>
  <c r="M202" i="3"/>
  <c r="O249" i="3"/>
  <c r="M249" i="3"/>
  <c r="N249" i="3"/>
  <c r="L249" i="3"/>
  <c r="G249" i="3"/>
  <c r="N197" i="3"/>
  <c r="L197" i="3"/>
  <c r="O197" i="3"/>
  <c r="M197" i="3"/>
  <c r="G197" i="3"/>
  <c r="O192" i="3"/>
  <c r="M192" i="3"/>
  <c r="G192" i="3"/>
  <c r="N192" i="3"/>
  <c r="L192" i="3"/>
  <c r="N266" i="3"/>
  <c r="L266" i="3"/>
  <c r="O266" i="3"/>
  <c r="G266" i="3"/>
  <c r="M266" i="3"/>
  <c r="O252" i="3"/>
  <c r="M252" i="3"/>
  <c r="G252" i="3"/>
  <c r="N252" i="3"/>
  <c r="L252" i="3"/>
  <c r="O271" i="3"/>
  <c r="M271" i="3"/>
  <c r="G271" i="3"/>
  <c r="N271" i="3"/>
  <c r="L271" i="3"/>
  <c r="O274" i="3"/>
  <c r="M274" i="3"/>
  <c r="G274" i="3"/>
  <c r="N274" i="3"/>
  <c r="L274" i="3"/>
  <c r="O190" i="3"/>
  <c r="M190" i="3"/>
  <c r="N190" i="3"/>
  <c r="L190" i="3"/>
  <c r="G190" i="3"/>
  <c r="O268" i="3"/>
  <c r="M268" i="3"/>
  <c r="N268" i="3"/>
  <c r="L268" i="3"/>
  <c r="G268" i="3"/>
  <c r="G264" i="3"/>
  <c r="N264" i="3"/>
  <c r="L264" i="3"/>
  <c r="O264" i="3"/>
  <c r="M264" i="3"/>
  <c r="O269" i="3"/>
  <c r="M269" i="3"/>
  <c r="N269" i="3"/>
  <c r="L269" i="3"/>
  <c r="G269" i="3"/>
  <c r="N225" i="3"/>
  <c r="L225" i="3"/>
  <c r="O225" i="3"/>
  <c r="M225" i="3"/>
  <c r="G225" i="3"/>
  <c r="N259" i="3"/>
  <c r="L259" i="3"/>
  <c r="O259" i="3"/>
  <c r="M259" i="3"/>
  <c r="G259" i="3"/>
  <c r="O254" i="3"/>
  <c r="M254" i="3"/>
  <c r="G254" i="3"/>
  <c r="N254" i="3"/>
  <c r="L254" i="3"/>
  <c r="O248" i="3"/>
  <c r="M248" i="3"/>
  <c r="N248" i="3"/>
  <c r="L248" i="3"/>
  <c r="G248" i="3"/>
  <c r="G244" i="3"/>
  <c r="N244" i="3"/>
  <c r="L244" i="3"/>
  <c r="M244" i="3"/>
  <c r="O244" i="3"/>
  <c r="N239" i="3"/>
  <c r="L239" i="3"/>
  <c r="O239" i="3"/>
  <c r="M239" i="3"/>
  <c r="G239" i="3"/>
  <c r="O234" i="3"/>
  <c r="M234" i="3"/>
  <c r="G234" i="3"/>
  <c r="N234" i="3"/>
  <c r="L234" i="3"/>
  <c r="O212" i="3"/>
  <c r="M212" i="3"/>
  <c r="G212" i="3"/>
  <c r="N212" i="3"/>
  <c r="L212" i="3"/>
  <c r="O228" i="3"/>
  <c r="M228" i="3"/>
  <c r="N228" i="3"/>
  <c r="L228" i="3"/>
  <c r="G228" i="3"/>
  <c r="G224" i="3"/>
  <c r="N224" i="3"/>
  <c r="L224" i="3"/>
  <c r="O224" i="3"/>
  <c r="M224" i="3"/>
  <c r="G263" i="3"/>
  <c r="N263" i="3"/>
  <c r="L263" i="3"/>
  <c r="O263" i="3"/>
  <c r="M263" i="3"/>
  <c r="N219" i="3"/>
  <c r="L219" i="3"/>
  <c r="O219" i="3"/>
  <c r="M219" i="3"/>
  <c r="G219" i="3"/>
  <c r="O214" i="3"/>
  <c r="M214" i="3"/>
  <c r="G214" i="3"/>
  <c r="N214" i="3"/>
  <c r="L214" i="3"/>
  <c r="O191" i="3"/>
  <c r="M191" i="3"/>
  <c r="G191" i="3"/>
  <c r="N191" i="3"/>
  <c r="L191" i="3"/>
  <c r="O208" i="3"/>
  <c r="M208" i="3"/>
  <c r="N208" i="3"/>
  <c r="L208" i="3"/>
  <c r="G208" i="3"/>
  <c r="G204" i="3"/>
  <c r="N204" i="3"/>
  <c r="L204" i="3"/>
  <c r="O204" i="3"/>
  <c r="M204" i="3"/>
  <c r="N246" i="3"/>
  <c r="L246" i="3"/>
  <c r="O246" i="3"/>
  <c r="M246" i="3"/>
  <c r="G246" i="3"/>
  <c r="G203" i="3"/>
  <c r="N203" i="3"/>
  <c r="L203" i="3"/>
  <c r="O203" i="3"/>
  <c r="M203" i="3"/>
  <c r="N199" i="3"/>
  <c r="L199" i="3"/>
  <c r="O199" i="3"/>
  <c r="M199" i="3"/>
  <c r="G199" i="3"/>
  <c r="O276" i="3"/>
  <c r="M276" i="3"/>
  <c r="G276" i="3"/>
  <c r="N276" i="3"/>
  <c r="L276" i="3"/>
  <c r="O194" i="3"/>
  <c r="M194" i="3"/>
  <c r="G194" i="3"/>
  <c r="N194" i="3"/>
  <c r="L194" i="3"/>
  <c r="O211" i="3"/>
  <c r="M211" i="3"/>
  <c r="G211" i="3"/>
  <c r="N211" i="3"/>
  <c r="L211" i="3"/>
  <c r="O256" i="3"/>
  <c r="M256" i="3"/>
  <c r="G256" i="3"/>
  <c r="N256" i="3"/>
  <c r="L256" i="3"/>
  <c r="AB42" i="14"/>
  <c r="Y42" i="14"/>
  <c r="N42" i="14"/>
  <c r="N27" i="14"/>
  <c r="AB27" i="14"/>
  <c r="Y27" i="14"/>
  <c r="Y22" i="14"/>
  <c r="N22" i="14"/>
  <c r="AB22" i="14"/>
  <c r="AB20" i="15"/>
  <c r="Y20" i="15"/>
  <c r="N20" i="15"/>
  <c r="N31" i="14"/>
  <c r="AB31" i="14"/>
  <c r="Y31" i="14"/>
  <c r="Y18" i="14"/>
  <c r="AB18" i="14"/>
  <c r="N18" i="14"/>
  <c r="AB16" i="15"/>
  <c r="Y16" i="15"/>
  <c r="N16" i="15"/>
  <c r="AB41" i="14"/>
  <c r="Y41" i="14"/>
  <c r="N41" i="14"/>
  <c r="N32" i="14"/>
  <c r="AB32" i="14"/>
  <c r="Y32" i="14"/>
  <c r="Y26" i="14"/>
  <c r="N26" i="14"/>
  <c r="AB26" i="14"/>
  <c r="N15" i="14"/>
  <c r="AB15" i="14"/>
  <c r="Y15" i="14"/>
  <c r="AB21" i="15"/>
  <c r="Y21" i="15"/>
  <c r="N21" i="15"/>
  <c r="Y40" i="14"/>
  <c r="AB40" i="14"/>
  <c r="N40" i="14"/>
  <c r="AB17" i="14"/>
  <c r="Y17" i="14"/>
  <c r="Y30" i="14"/>
  <c r="AB30" i="14"/>
  <c r="N30" i="14"/>
  <c r="N39" i="14"/>
  <c r="Y39" i="14"/>
  <c r="AB39" i="14"/>
  <c r="N17" i="15"/>
  <c r="AB17" i="15"/>
  <c r="Y17" i="15"/>
  <c r="AB25" i="14"/>
  <c r="Y25" i="14"/>
  <c r="N25" i="14"/>
  <c r="Y21" i="14"/>
  <c r="AB21" i="14"/>
  <c r="N21" i="14"/>
  <c r="N22" i="15"/>
  <c r="AB22" i="15"/>
  <c r="Y22" i="15"/>
  <c r="N38" i="14"/>
  <c r="AB38" i="14"/>
  <c r="Y38" i="14"/>
  <c r="Y16" i="14"/>
  <c r="AB16" i="14"/>
  <c r="AB29" i="14"/>
  <c r="N29" i="14"/>
  <c r="Y29" i="14"/>
  <c r="N37" i="14"/>
  <c r="AB37" i="14"/>
  <c r="Y37" i="14"/>
  <c r="AB18" i="15"/>
  <c r="Y18" i="15"/>
  <c r="N18" i="15"/>
  <c r="N24" i="14"/>
  <c r="AB24" i="14"/>
  <c r="Y24" i="14"/>
  <c r="AB23" i="15"/>
  <c r="Y23" i="15"/>
  <c r="N23" i="15"/>
  <c r="AB36" i="14"/>
  <c r="Y36" i="14"/>
  <c r="N36" i="14"/>
  <c r="AB20" i="14"/>
  <c r="N20" i="14"/>
  <c r="Y20" i="14"/>
  <c r="Y33" i="14"/>
  <c r="AB33" i="14"/>
  <c r="N33" i="14"/>
  <c r="N43" i="14"/>
  <c r="Y43" i="14"/>
  <c r="AB43" i="14"/>
  <c r="AB28" i="14"/>
  <c r="N28" i="14"/>
  <c r="Y28" i="14"/>
  <c r="AB23" i="14"/>
  <c r="N23" i="14"/>
  <c r="Y23" i="14"/>
  <c r="AB35" i="14"/>
  <c r="Y35" i="14"/>
  <c r="N35" i="14"/>
  <c r="AB19" i="15"/>
  <c r="Y19" i="15"/>
  <c r="N19" i="15"/>
  <c r="AB24" i="15"/>
  <c r="Y24" i="15"/>
  <c r="N24" i="15"/>
  <c r="N19" i="14"/>
  <c r="Y19" i="14"/>
  <c r="AB19" i="14"/>
  <c r="Y34" i="14"/>
  <c r="N34" i="14"/>
  <c r="AB34" i="14"/>
  <c r="P204" i="3" l="1"/>
  <c r="AS362" i="8" s="1"/>
  <c r="K204" i="3"/>
  <c r="J204" i="3"/>
  <c r="I204" i="3"/>
  <c r="H204" i="3"/>
  <c r="P214" i="3"/>
  <c r="AS386" i="8" s="1"/>
  <c r="K214" i="3"/>
  <c r="H214" i="3"/>
  <c r="J214" i="3"/>
  <c r="I214" i="3"/>
  <c r="K260" i="3"/>
  <c r="J260" i="3"/>
  <c r="I260" i="3"/>
  <c r="H260" i="3"/>
  <c r="P260" i="3"/>
  <c r="AS493" i="8" s="1"/>
  <c r="P264" i="3"/>
  <c r="AS502" i="8" s="1"/>
  <c r="K264" i="3"/>
  <c r="J264" i="3"/>
  <c r="I264" i="3"/>
  <c r="H264" i="3"/>
  <c r="J263" i="3"/>
  <c r="I263" i="3"/>
  <c r="H263" i="3"/>
  <c r="P263" i="3"/>
  <c r="AS500" i="8" s="1"/>
  <c r="K263" i="3"/>
  <c r="J268" i="3"/>
  <c r="I268" i="3"/>
  <c r="H268" i="3"/>
  <c r="P268" i="3"/>
  <c r="AS512" i="8" s="1"/>
  <c r="K268" i="3"/>
  <c r="J208" i="3"/>
  <c r="I208" i="3"/>
  <c r="H208" i="3"/>
  <c r="P208" i="3"/>
  <c r="AS372" i="8" s="1"/>
  <c r="K208" i="3"/>
  <c r="P225" i="3"/>
  <c r="AS411" i="8" s="1"/>
  <c r="K225" i="3"/>
  <c r="J225" i="3"/>
  <c r="I225" i="3"/>
  <c r="H225" i="3"/>
  <c r="K252" i="3"/>
  <c r="P252" i="3"/>
  <c r="AS474" i="8" s="1"/>
  <c r="J252" i="3"/>
  <c r="I252" i="3"/>
  <c r="H252" i="3"/>
  <c r="K232" i="3"/>
  <c r="P232" i="3"/>
  <c r="AS428" i="8" s="1"/>
  <c r="J232" i="3"/>
  <c r="I232" i="3"/>
  <c r="H232" i="3"/>
  <c r="P210" i="3"/>
  <c r="AS376" i="8" s="1"/>
  <c r="K210" i="3"/>
  <c r="J210" i="3"/>
  <c r="I210" i="3"/>
  <c r="H210" i="3"/>
  <c r="P230" i="3"/>
  <c r="AS423" i="8" s="1"/>
  <c r="K230" i="3"/>
  <c r="J230" i="3"/>
  <c r="I230" i="3"/>
  <c r="H230" i="3"/>
  <c r="P250" i="3"/>
  <c r="AS470" i="8" s="1"/>
  <c r="K250" i="3"/>
  <c r="J250" i="3"/>
  <c r="I250" i="3"/>
  <c r="H250" i="3"/>
  <c r="J213" i="3"/>
  <c r="I213" i="3"/>
  <c r="K213" i="3"/>
  <c r="H213" i="3"/>
  <c r="P213" i="3"/>
  <c r="AS383" i="8" s="1"/>
  <c r="K217" i="3"/>
  <c r="P217" i="3"/>
  <c r="AS393" i="8" s="1"/>
  <c r="J217" i="3"/>
  <c r="I217" i="3"/>
  <c r="H217" i="3"/>
  <c r="J253" i="3"/>
  <c r="I253" i="3"/>
  <c r="H253" i="3"/>
  <c r="P253" i="3"/>
  <c r="AS477" i="8" s="1"/>
  <c r="K253" i="3"/>
  <c r="J273" i="3"/>
  <c r="I273" i="3"/>
  <c r="H273" i="3"/>
  <c r="P273" i="3"/>
  <c r="AS523" i="8" s="1"/>
  <c r="K273" i="3"/>
  <c r="P254" i="3"/>
  <c r="AS479" i="8" s="1"/>
  <c r="K254" i="3"/>
  <c r="J254" i="3"/>
  <c r="I254" i="3"/>
  <c r="H254" i="3"/>
  <c r="P257" i="3"/>
  <c r="AS486" i="8" s="1"/>
  <c r="K257" i="3"/>
  <c r="J257" i="3"/>
  <c r="I257" i="3"/>
  <c r="H257" i="3"/>
  <c r="K221" i="3"/>
  <c r="J221" i="3"/>
  <c r="I221" i="3"/>
  <c r="H221" i="3"/>
  <c r="P221" i="3"/>
  <c r="AS402" i="8" s="1"/>
  <c r="P195" i="3"/>
  <c r="AS341" i="8" s="1"/>
  <c r="J195" i="3"/>
  <c r="K195" i="3"/>
  <c r="I195" i="3"/>
  <c r="H195" i="3"/>
  <c r="P194" i="3"/>
  <c r="K194" i="3"/>
  <c r="J194" i="3"/>
  <c r="H194" i="3"/>
  <c r="I194" i="3"/>
  <c r="P256" i="3"/>
  <c r="AS484" i="8" s="1"/>
  <c r="K256" i="3"/>
  <c r="J256" i="3"/>
  <c r="I256" i="3"/>
  <c r="H256" i="3"/>
  <c r="J203" i="3"/>
  <c r="I203" i="3"/>
  <c r="H203" i="3"/>
  <c r="K203" i="3"/>
  <c r="P203" i="3"/>
  <c r="AS360" i="8" s="1"/>
  <c r="P234" i="3"/>
  <c r="AS432" i="8" s="1"/>
  <c r="K234" i="3"/>
  <c r="J234" i="3"/>
  <c r="I234" i="3"/>
  <c r="H234" i="3"/>
  <c r="P197" i="3"/>
  <c r="AS346" i="8" s="1"/>
  <c r="K197" i="3"/>
  <c r="J197" i="3"/>
  <c r="I197" i="3"/>
  <c r="H197" i="3"/>
  <c r="P270" i="3"/>
  <c r="AS516" i="8" s="1"/>
  <c r="K270" i="3"/>
  <c r="J270" i="3"/>
  <c r="I270" i="3"/>
  <c r="H270" i="3"/>
  <c r="K222" i="3"/>
  <c r="J222" i="3"/>
  <c r="I222" i="3"/>
  <c r="H222" i="3"/>
  <c r="P222" i="3"/>
  <c r="AS404" i="8" s="1"/>
  <c r="P237" i="3"/>
  <c r="AS439" i="8" s="1"/>
  <c r="K237" i="3"/>
  <c r="J237" i="3"/>
  <c r="I237" i="3"/>
  <c r="H237" i="3"/>
  <c r="K246" i="3"/>
  <c r="J246" i="3"/>
  <c r="I246" i="3"/>
  <c r="P246" i="3"/>
  <c r="AS460" i="8" s="1"/>
  <c r="H246" i="3"/>
  <c r="P269" i="3"/>
  <c r="AS514" i="8" s="1"/>
  <c r="K269" i="3"/>
  <c r="J269" i="3"/>
  <c r="I269" i="3"/>
  <c r="H269" i="3"/>
  <c r="K202" i="3"/>
  <c r="J202" i="3"/>
  <c r="I202" i="3"/>
  <c r="H202" i="3"/>
  <c r="P202" i="3"/>
  <c r="AS358" i="8" s="1"/>
  <c r="P265" i="3"/>
  <c r="AS505" i="8" s="1"/>
  <c r="K265" i="3"/>
  <c r="J265" i="3"/>
  <c r="I265" i="3"/>
  <c r="H265" i="3"/>
  <c r="K242" i="3"/>
  <c r="J242" i="3"/>
  <c r="I242" i="3"/>
  <c r="H242" i="3"/>
  <c r="P242" i="3"/>
  <c r="AS451" i="8" s="1"/>
  <c r="K241" i="3"/>
  <c r="J241" i="3"/>
  <c r="I241" i="3"/>
  <c r="H241" i="3"/>
  <c r="P241" i="3"/>
  <c r="AS449" i="8" s="1"/>
  <c r="J233" i="3"/>
  <c r="I233" i="3"/>
  <c r="H233" i="3"/>
  <c r="P233" i="3"/>
  <c r="AS430" i="8" s="1"/>
  <c r="K233" i="3"/>
  <c r="K261" i="3"/>
  <c r="J261" i="3"/>
  <c r="I261" i="3"/>
  <c r="H261" i="3"/>
  <c r="P261" i="3"/>
  <c r="AS495" i="8" s="1"/>
  <c r="K212" i="3"/>
  <c r="P212" i="3"/>
  <c r="AS381" i="8" s="1"/>
  <c r="J212" i="3"/>
  <c r="I212" i="3"/>
  <c r="H212" i="3"/>
  <c r="K219" i="3"/>
  <c r="J219" i="3"/>
  <c r="H219" i="3"/>
  <c r="P219" i="3"/>
  <c r="AS397" i="8" s="1"/>
  <c r="I219" i="3"/>
  <c r="K206" i="3"/>
  <c r="J206" i="3"/>
  <c r="I206" i="3"/>
  <c r="P206" i="3"/>
  <c r="AS367" i="8" s="1"/>
  <c r="H206" i="3"/>
  <c r="K262" i="3"/>
  <c r="J262" i="3"/>
  <c r="I262" i="3"/>
  <c r="H262" i="3"/>
  <c r="P262" i="3"/>
  <c r="AS498" i="8" s="1"/>
  <c r="P211" i="3"/>
  <c r="AS379" i="8" s="1"/>
  <c r="K211" i="3"/>
  <c r="J211" i="3"/>
  <c r="I211" i="3"/>
  <c r="H211" i="3"/>
  <c r="P229" i="3"/>
  <c r="AS421" i="8" s="1"/>
  <c r="K229" i="3"/>
  <c r="J229" i="3"/>
  <c r="I229" i="3"/>
  <c r="H229" i="3"/>
  <c r="P235" i="3"/>
  <c r="AS435" i="8" s="1"/>
  <c r="K235" i="3"/>
  <c r="J235" i="3"/>
  <c r="I235" i="3"/>
  <c r="H235" i="3"/>
  <c r="P245" i="3"/>
  <c r="AS458" i="8" s="1"/>
  <c r="K245" i="3"/>
  <c r="J245" i="3"/>
  <c r="I245" i="3"/>
  <c r="H245" i="3"/>
  <c r="P196" i="3"/>
  <c r="AS344" i="8" s="1"/>
  <c r="K196" i="3"/>
  <c r="J196" i="3"/>
  <c r="I196" i="3"/>
  <c r="H196" i="3"/>
  <c r="P190" i="3"/>
  <c r="I190" i="3"/>
  <c r="K190" i="3"/>
  <c r="J190" i="3"/>
  <c r="H190" i="3"/>
  <c r="J223" i="3"/>
  <c r="I223" i="3"/>
  <c r="H223" i="3"/>
  <c r="K223" i="3"/>
  <c r="P223" i="3"/>
  <c r="AS407" i="8" s="1"/>
  <c r="P216" i="3"/>
  <c r="AS390" i="8" s="1"/>
  <c r="K216" i="3"/>
  <c r="J216" i="3"/>
  <c r="I216" i="3"/>
  <c r="H216" i="3"/>
  <c r="P276" i="3"/>
  <c r="AS530" i="8" s="1"/>
  <c r="K276" i="3"/>
  <c r="J276" i="3"/>
  <c r="I276" i="3"/>
  <c r="H276" i="3"/>
  <c r="P224" i="3"/>
  <c r="AS409" i="8" s="1"/>
  <c r="H224" i="3"/>
  <c r="K224" i="3"/>
  <c r="J224" i="3"/>
  <c r="I224" i="3"/>
  <c r="P274" i="3"/>
  <c r="AS526" i="8" s="1"/>
  <c r="K274" i="3"/>
  <c r="J274" i="3"/>
  <c r="I274" i="3"/>
  <c r="H274" i="3"/>
  <c r="K226" i="3"/>
  <c r="J226" i="3"/>
  <c r="I226" i="3"/>
  <c r="P226" i="3"/>
  <c r="AS414" i="8" s="1"/>
  <c r="H226" i="3"/>
  <c r="K266" i="3"/>
  <c r="J266" i="3"/>
  <c r="I266" i="3"/>
  <c r="P266" i="3"/>
  <c r="AS507" i="8" s="1"/>
  <c r="H266" i="3"/>
  <c r="P255" i="3"/>
  <c r="AS481" i="8" s="1"/>
  <c r="K255" i="3"/>
  <c r="J255" i="3"/>
  <c r="I255" i="3"/>
  <c r="H255" i="3"/>
  <c r="P191" i="3"/>
  <c r="AS332" i="8" s="1"/>
  <c r="K191" i="3"/>
  <c r="J191" i="3"/>
  <c r="I191" i="3"/>
  <c r="H191" i="3"/>
  <c r="J228" i="3"/>
  <c r="I228" i="3"/>
  <c r="H228" i="3"/>
  <c r="P228" i="3"/>
  <c r="AS418" i="8" s="1"/>
  <c r="K228" i="3"/>
  <c r="P209" i="3"/>
  <c r="AS374" i="8" s="1"/>
  <c r="K209" i="3"/>
  <c r="J209" i="3"/>
  <c r="I209" i="3"/>
  <c r="H209" i="3"/>
  <c r="P275" i="3"/>
  <c r="AS528" i="8" s="1"/>
  <c r="K275" i="3"/>
  <c r="J275" i="3"/>
  <c r="I275" i="3"/>
  <c r="H275" i="3"/>
  <c r="J198" i="3"/>
  <c r="I198" i="3"/>
  <c r="H198" i="3"/>
  <c r="K198" i="3"/>
  <c r="P198" i="3"/>
  <c r="AS348" i="8" s="1"/>
  <c r="J243" i="3"/>
  <c r="K243" i="3"/>
  <c r="I243" i="3"/>
  <c r="H243" i="3"/>
  <c r="P243" i="3"/>
  <c r="AS453" i="8" s="1"/>
  <c r="J193" i="3"/>
  <c r="K193" i="3"/>
  <c r="I193" i="3"/>
  <c r="H193" i="3"/>
  <c r="P193" i="3"/>
  <c r="K259" i="3"/>
  <c r="J259" i="3"/>
  <c r="P259" i="3"/>
  <c r="AS491" i="8" s="1"/>
  <c r="I259" i="3"/>
  <c r="H259" i="3"/>
  <c r="K272" i="3"/>
  <c r="P272" i="3"/>
  <c r="AS521" i="8" s="1"/>
  <c r="J272" i="3"/>
  <c r="I272" i="3"/>
  <c r="H272" i="3"/>
  <c r="K207" i="3"/>
  <c r="J207" i="3"/>
  <c r="I207" i="3"/>
  <c r="H207" i="3"/>
  <c r="P207" i="3"/>
  <c r="AS369" i="8" s="1"/>
  <c r="J218" i="3"/>
  <c r="I218" i="3"/>
  <c r="H218" i="3"/>
  <c r="K218" i="3"/>
  <c r="P218" i="3"/>
  <c r="AS395" i="8" s="1"/>
  <c r="J205" i="3"/>
  <c r="P205" i="3"/>
  <c r="AS365" i="8" s="1"/>
  <c r="K205" i="3"/>
  <c r="I205" i="3"/>
  <c r="H205" i="3"/>
  <c r="P215" i="3"/>
  <c r="AS388" i="8" s="1"/>
  <c r="K215" i="3"/>
  <c r="J215" i="3"/>
  <c r="I215" i="3"/>
  <c r="H215" i="3"/>
  <c r="J238" i="3"/>
  <c r="I238" i="3"/>
  <c r="H238" i="3"/>
  <c r="K238" i="3"/>
  <c r="P238" i="3"/>
  <c r="AS442" i="8" s="1"/>
  <c r="K247" i="3"/>
  <c r="J247" i="3"/>
  <c r="I247" i="3"/>
  <c r="H247" i="3"/>
  <c r="P247" i="3"/>
  <c r="AS463" i="8" s="1"/>
  <c r="K227" i="3"/>
  <c r="J227" i="3"/>
  <c r="I227" i="3"/>
  <c r="H227" i="3"/>
  <c r="P227" i="3"/>
  <c r="AS416" i="8" s="1"/>
  <c r="H199" i="3"/>
  <c r="K199" i="3"/>
  <c r="J199" i="3"/>
  <c r="P199" i="3"/>
  <c r="AS351" i="8" s="1"/>
  <c r="I199" i="3"/>
  <c r="K239" i="3"/>
  <c r="J239" i="3"/>
  <c r="H239" i="3"/>
  <c r="P239" i="3"/>
  <c r="AS444" i="8" s="1"/>
  <c r="I239" i="3"/>
  <c r="P244" i="3"/>
  <c r="AS456" i="8" s="1"/>
  <c r="K244" i="3"/>
  <c r="H244" i="3"/>
  <c r="J244" i="3"/>
  <c r="I244" i="3"/>
  <c r="P271" i="3"/>
  <c r="AS519" i="8" s="1"/>
  <c r="K271" i="3"/>
  <c r="J271" i="3"/>
  <c r="I271" i="3"/>
  <c r="H271" i="3"/>
  <c r="K192" i="3"/>
  <c r="P192" i="3"/>
  <c r="AS334" i="8" s="1"/>
  <c r="J192" i="3"/>
  <c r="I192" i="3"/>
  <c r="H192" i="3"/>
  <c r="P249" i="3"/>
  <c r="AS467" i="8" s="1"/>
  <c r="K249" i="3"/>
  <c r="J249" i="3"/>
  <c r="I249" i="3"/>
  <c r="H249" i="3"/>
  <c r="K200" i="3"/>
  <c r="J200" i="3"/>
  <c r="I200" i="3"/>
  <c r="H200" i="3"/>
  <c r="P200" i="3"/>
  <c r="AS353" i="8" s="1"/>
  <c r="J258" i="3"/>
  <c r="I258" i="3"/>
  <c r="K258" i="3"/>
  <c r="H258" i="3"/>
  <c r="P258" i="3"/>
  <c r="AS488" i="8" s="1"/>
  <c r="K267" i="3"/>
  <c r="J267" i="3"/>
  <c r="I267" i="3"/>
  <c r="H267" i="3"/>
  <c r="P267" i="3"/>
  <c r="AS509" i="8" s="1"/>
  <c r="K201" i="3"/>
  <c r="J201" i="3"/>
  <c r="I201" i="3"/>
  <c r="H201" i="3"/>
  <c r="P201" i="3"/>
  <c r="AS355" i="8" s="1"/>
  <c r="K220" i="3"/>
  <c r="J220" i="3"/>
  <c r="I220" i="3"/>
  <c r="H220" i="3"/>
  <c r="P220" i="3"/>
  <c r="AS400" i="8" s="1"/>
  <c r="J248" i="3"/>
  <c r="I248" i="3"/>
  <c r="H248" i="3"/>
  <c r="P248" i="3"/>
  <c r="AS465" i="8" s="1"/>
  <c r="K248" i="3"/>
  <c r="P251" i="3"/>
  <c r="AS472" i="8" s="1"/>
  <c r="K251" i="3"/>
  <c r="J251" i="3"/>
  <c r="I251" i="3"/>
  <c r="H251" i="3"/>
  <c r="P231" i="3"/>
  <c r="AS425" i="8" s="1"/>
  <c r="K231" i="3"/>
  <c r="J231" i="3"/>
  <c r="I231" i="3"/>
  <c r="H231" i="3"/>
  <c r="K240" i="3"/>
  <c r="J240" i="3"/>
  <c r="I240" i="3"/>
  <c r="H240" i="3"/>
  <c r="P240" i="3"/>
  <c r="AS446" i="8" s="1"/>
  <c r="P236" i="3"/>
  <c r="AS437" i="8" s="1"/>
  <c r="K236" i="3"/>
  <c r="J236" i="3"/>
  <c r="I236" i="3"/>
  <c r="H236" i="3"/>
  <c r="Y201" i="3"/>
  <c r="Y208" i="3"/>
  <c r="Y225" i="3"/>
  <c r="Y252" i="3"/>
  <c r="Y212" i="3"/>
  <c r="Y195" i="3"/>
  <c r="Y215" i="3"/>
  <c r="Y232" i="3"/>
  <c r="Y210" i="3"/>
  <c r="Y230" i="3"/>
  <c r="Y213" i="3"/>
  <c r="Y250" i="3"/>
  <c r="Y217" i="3"/>
  <c r="Y253" i="3"/>
  <c r="Y273" i="3"/>
  <c r="Y270" i="3"/>
  <c r="Y194" i="3"/>
  <c r="AH194" i="3" s="1"/>
  <c r="Y254" i="3"/>
  <c r="Y257" i="3"/>
  <c r="Y221" i="3"/>
  <c r="Y268" i="3"/>
  <c r="Y256" i="3"/>
  <c r="Y203" i="3"/>
  <c r="Y234" i="3"/>
  <c r="Y197" i="3"/>
  <c r="Y222" i="3"/>
  <c r="Y237" i="3"/>
  <c r="Y246" i="3"/>
  <c r="Y269" i="3"/>
  <c r="Y202" i="3"/>
  <c r="Y265" i="3"/>
  <c r="Y242" i="3"/>
  <c r="Y241" i="3"/>
  <c r="Y233" i="3"/>
  <c r="Y261" i="3"/>
  <c r="Y219" i="3"/>
  <c r="Y206" i="3"/>
  <c r="Y262" i="3"/>
  <c r="Y211" i="3"/>
  <c r="Y229" i="3"/>
  <c r="Y235" i="3"/>
  <c r="Y245" i="3"/>
  <c r="Y196" i="3"/>
  <c r="Y263" i="3"/>
  <c r="AH263" i="3" s="1"/>
  <c r="Y260" i="3"/>
  <c r="Y266" i="3"/>
  <c r="Y223" i="3"/>
  <c r="Y216" i="3"/>
  <c r="Y276" i="3"/>
  <c r="Y224" i="3"/>
  <c r="Y255" i="3"/>
  <c r="Y274" i="3"/>
  <c r="Y226" i="3"/>
  <c r="Y228" i="3"/>
  <c r="Y209" i="3"/>
  <c r="Y275" i="3"/>
  <c r="Y198" i="3"/>
  <c r="AH198" i="3" s="1"/>
  <c r="Y243" i="3"/>
  <c r="Y193" i="3"/>
  <c r="AH193" i="3" s="1"/>
  <c r="Y259" i="3"/>
  <c r="Y272" i="3"/>
  <c r="Y207" i="3"/>
  <c r="Y218" i="3"/>
  <c r="Y205" i="3"/>
  <c r="Y227" i="3"/>
  <c r="Y238" i="3"/>
  <c r="Y247" i="3"/>
  <c r="Y199" i="3"/>
  <c r="Y239" i="3"/>
  <c r="Y244" i="3"/>
  <c r="Y271" i="3"/>
  <c r="Y249" i="3"/>
  <c r="Y200" i="3"/>
  <c r="Y258" i="3"/>
  <c r="Y267" i="3"/>
  <c r="Y264" i="3"/>
  <c r="Y220" i="3"/>
  <c r="Y204" i="3"/>
  <c r="Y214" i="3"/>
  <c r="Y248" i="3"/>
  <c r="Y251" i="3"/>
  <c r="Y231" i="3"/>
  <c r="Y240" i="3"/>
  <c r="Y236" i="3"/>
  <c r="Y192" i="3"/>
  <c r="AH192" i="3" s="1"/>
  <c r="Y191" i="3"/>
  <c r="AH191" i="3" s="1"/>
  <c r="Y190" i="3"/>
  <c r="AH190" i="3" s="1"/>
  <c r="L21" i="8"/>
  <c r="AS330" i="8" l="1"/>
  <c r="AS339" i="8"/>
  <c r="AS337" i="8"/>
  <c r="AH252" i="3"/>
  <c r="AH257" i="3"/>
  <c r="AH268" i="3"/>
  <c r="AH221" i="3"/>
  <c r="AH217" i="3"/>
  <c r="AH237" i="3"/>
  <c r="AH201" i="3"/>
  <c r="AH225" i="3"/>
  <c r="AH210" i="3"/>
  <c r="AH254" i="3"/>
  <c r="AH262" i="3"/>
  <c r="AH216" i="3"/>
  <c r="AH212" i="3"/>
  <c r="AH203" i="3"/>
  <c r="AH266" i="3"/>
  <c r="AH241" i="3"/>
  <c r="AH195" i="3"/>
  <c r="AH269" i="3"/>
  <c r="AH255" i="3"/>
  <c r="AH256" i="3"/>
  <c r="AH242" i="3"/>
  <c r="AH233" i="3"/>
  <c r="AH207" i="3"/>
  <c r="AH215" i="3"/>
  <c r="AH274" i="3"/>
  <c r="AH230" i="3"/>
  <c r="AH260" i="3"/>
  <c r="AH202" i="3"/>
  <c r="AH222" i="3"/>
  <c r="AH273" i="3"/>
  <c r="AH249" i="3"/>
  <c r="AH239" i="3"/>
  <c r="AH275" i="3"/>
  <c r="AH253" i="3"/>
  <c r="AH197" i="3"/>
  <c r="AH243" i="3"/>
  <c r="AH211" i="3"/>
  <c r="AH213" i="3"/>
  <c r="AH227" i="3"/>
  <c r="AH219" i="3"/>
  <c r="AH223" i="3"/>
  <c r="AH196" i="3"/>
  <c r="AH226" i="3"/>
  <c r="AH209" i="3"/>
  <c r="AH238" i="3"/>
  <c r="AH248" i="3"/>
  <c r="AH199" i="3"/>
  <c r="AH259" i="3"/>
  <c r="AH244" i="3"/>
  <c r="AH206" i="3"/>
  <c r="AH264" i="3"/>
  <c r="AH265" i="3"/>
  <c r="AH205" i="3"/>
  <c r="AH200" i="3"/>
  <c r="AH261" i="3"/>
  <c r="AH229" i="3"/>
  <c r="AH204" i="3"/>
  <c r="AH271" i="3"/>
  <c r="AH240" i="3"/>
  <c r="AH231" i="3"/>
  <c r="AH220" i="3"/>
  <c r="AH208" i="3"/>
  <c r="AH236" i="3"/>
  <c r="AH270" i="3"/>
  <c r="AH250" i="3"/>
  <c r="AH228" i="3"/>
  <c r="AH258" i="3"/>
  <c r="AH247" i="3"/>
  <c r="AH235" i="3"/>
  <c r="AH224" i="3"/>
  <c r="AH246" i="3"/>
  <c r="AH267" i="3"/>
  <c r="AH234" i="3"/>
  <c r="AH272" i="3"/>
  <c r="AH276" i="3"/>
  <c r="AH245" i="3"/>
  <c r="AH232" i="3"/>
  <c r="AH251" i="3"/>
  <c r="AH218" i="3"/>
  <c r="AH214" i="3"/>
  <c r="AA10" i="3"/>
  <c r="X10" i="3" s="1"/>
  <c r="AA11" i="3"/>
  <c r="X11" i="3" s="1"/>
  <c r="AB11" i="3"/>
  <c r="AA12" i="3"/>
  <c r="X12" i="3" s="1"/>
  <c r="AA13" i="3"/>
  <c r="X13" i="3" s="1"/>
  <c r="AA14" i="3"/>
  <c r="X14" i="3" s="1"/>
  <c r="AA16" i="3"/>
  <c r="X16" i="3" s="1"/>
  <c r="AA17" i="3"/>
  <c r="X17" i="3" s="1"/>
  <c r="AB17" i="3"/>
  <c r="AA18" i="3"/>
  <c r="X18" i="3" s="1"/>
  <c r="AA19" i="3"/>
  <c r="X19" i="3" s="1"/>
  <c r="AA20" i="3"/>
  <c r="X20" i="3" s="1"/>
  <c r="AA22" i="3"/>
  <c r="X22" i="3" s="1"/>
  <c r="AA23" i="3"/>
  <c r="X23" i="3" s="1"/>
  <c r="AB23" i="3"/>
  <c r="AA24" i="3"/>
  <c r="X24" i="3" s="1"/>
  <c r="AA25" i="3"/>
  <c r="X25" i="3" s="1"/>
  <c r="AA26" i="3"/>
  <c r="X26" i="3" s="1"/>
  <c r="AA28" i="3"/>
  <c r="X28" i="3" s="1"/>
  <c r="AA29" i="3"/>
  <c r="X29" i="3" s="1"/>
  <c r="AB29" i="3"/>
  <c r="AA30" i="3"/>
  <c r="X30" i="3" s="1"/>
  <c r="AA31" i="3"/>
  <c r="X31" i="3" s="1"/>
  <c r="AA32" i="3"/>
  <c r="X32" i="3" s="1"/>
  <c r="AA34" i="3"/>
  <c r="X34" i="3" s="1"/>
  <c r="AA35" i="3"/>
  <c r="X35" i="3" s="1"/>
  <c r="AB35" i="3"/>
  <c r="AA36" i="3"/>
  <c r="X36" i="3" s="1"/>
  <c r="AA37" i="3"/>
  <c r="X37" i="3" s="1"/>
  <c r="AA38" i="3"/>
  <c r="X38" i="3" s="1"/>
  <c r="AA40" i="3"/>
  <c r="X40" i="3" s="1"/>
  <c r="AA41" i="3"/>
  <c r="X41" i="3" s="1"/>
  <c r="AB41" i="3"/>
  <c r="AA42" i="3"/>
  <c r="X42" i="3" s="1"/>
  <c r="AA43" i="3"/>
  <c r="X43" i="3" s="1"/>
  <c r="AA44" i="3"/>
  <c r="X44" i="3" s="1"/>
  <c r="AA46" i="3"/>
  <c r="X46" i="3" s="1"/>
  <c r="AA47" i="3"/>
  <c r="X47" i="3" s="1"/>
  <c r="AB47" i="3"/>
  <c r="AA48" i="3"/>
  <c r="X48" i="3" s="1"/>
  <c r="AA49" i="3"/>
  <c r="X49" i="3" s="1"/>
  <c r="AA50" i="3"/>
  <c r="X50" i="3" s="1"/>
  <c r="AA52" i="3"/>
  <c r="X52" i="3" s="1"/>
  <c r="AA53" i="3"/>
  <c r="X53" i="3" s="1"/>
  <c r="AB53" i="3"/>
  <c r="AA54" i="3"/>
  <c r="X54" i="3" s="1"/>
  <c r="AA55" i="3"/>
  <c r="X55" i="3" s="1"/>
  <c r="AA56" i="3"/>
  <c r="X56" i="3" s="1"/>
  <c r="AA58" i="3"/>
  <c r="X58" i="3" s="1"/>
  <c r="AA59" i="3"/>
  <c r="X59" i="3" s="1"/>
  <c r="AB59" i="3"/>
  <c r="AA60" i="3"/>
  <c r="X60" i="3" s="1"/>
  <c r="AA61" i="3"/>
  <c r="X61" i="3" s="1"/>
  <c r="AA62" i="3"/>
  <c r="X62" i="3" s="1"/>
  <c r="AL39" i="8" l="1"/>
  <c r="W61" i="3"/>
  <c r="AK39" i="8"/>
  <c r="W60" i="3"/>
  <c r="AI39" i="8"/>
  <c r="AH39" i="8" s="1"/>
  <c r="W58" i="3"/>
  <c r="AM39" i="8"/>
  <c r="W62" i="3"/>
  <c r="AJ39" i="8"/>
  <c r="W59" i="3"/>
  <c r="AK35" i="8"/>
  <c r="W48" i="3"/>
  <c r="AI35" i="8"/>
  <c r="AH35" i="8" s="1"/>
  <c r="W46" i="3"/>
  <c r="AL25" i="8"/>
  <c r="W19" i="3"/>
  <c r="AK33" i="8"/>
  <c r="W42" i="3"/>
  <c r="AM25" i="8"/>
  <c r="W20" i="3"/>
  <c r="AJ25" i="8"/>
  <c r="W17" i="3"/>
  <c r="AL33" i="8"/>
  <c r="W43" i="3"/>
  <c r="AM27" i="8"/>
  <c r="W26" i="3"/>
  <c r="AI25" i="8"/>
  <c r="W16" i="3"/>
  <c r="AL27" i="8"/>
  <c r="W25" i="3"/>
  <c r="AK25" i="8"/>
  <c r="W18" i="3"/>
  <c r="AM37" i="8"/>
  <c r="W56" i="3"/>
  <c r="AK27" i="8"/>
  <c r="W24" i="3"/>
  <c r="AI31" i="8"/>
  <c r="AH31" i="8" s="1"/>
  <c r="W34" i="3"/>
  <c r="AL37" i="8"/>
  <c r="W55" i="3"/>
  <c r="AL31" i="8"/>
  <c r="W37" i="3"/>
  <c r="AJ33" i="8"/>
  <c r="W41" i="3"/>
  <c r="AI37" i="8"/>
  <c r="AH37" i="8" s="1"/>
  <c r="W52" i="3"/>
  <c r="AK31" i="8"/>
  <c r="W36" i="3"/>
  <c r="AJ27" i="8"/>
  <c r="W23" i="3"/>
  <c r="AJ35" i="8"/>
  <c r="W47" i="3"/>
  <c r="AK37" i="8"/>
  <c r="W54" i="3"/>
  <c r="AJ37" i="8"/>
  <c r="W53" i="3"/>
  <c r="AM31" i="8"/>
  <c r="W38" i="3"/>
  <c r="AM35" i="8"/>
  <c r="W50" i="3"/>
  <c r="AI27" i="8"/>
  <c r="AH27" i="8" s="1"/>
  <c r="W22" i="3"/>
  <c r="AM33" i="8"/>
  <c r="W44" i="3"/>
  <c r="AI33" i="8"/>
  <c r="AH33" i="8" s="1"/>
  <c r="W40" i="3"/>
  <c r="AL35" i="8"/>
  <c r="W49" i="3"/>
  <c r="AJ31" i="8"/>
  <c r="W35" i="3"/>
  <c r="AM23" i="8"/>
  <c r="W14" i="3"/>
  <c r="AL23" i="8"/>
  <c r="W13" i="3"/>
  <c r="AK23" i="8"/>
  <c r="W12" i="3"/>
  <c r="AJ23" i="8"/>
  <c r="W11" i="3"/>
  <c r="AI23" i="8"/>
  <c r="W10" i="3"/>
  <c r="AM29" i="8"/>
  <c r="W32" i="3"/>
  <c r="AI29" i="8"/>
  <c r="AH29" i="8" s="1"/>
  <c r="W28" i="3"/>
  <c r="AK29" i="8"/>
  <c r="W30" i="3"/>
  <c r="AL29" i="8"/>
  <c r="W31" i="3"/>
  <c r="AJ29" i="8"/>
  <c r="W29" i="3"/>
  <c r="AH25" i="8" l="1"/>
  <c r="AH23" i="8"/>
  <c r="F97" i="8"/>
  <c r="J97" i="8" s="1"/>
  <c r="AH188" i="3" l="1"/>
  <c r="AA6" i="3"/>
  <c r="AB187" i="3"/>
  <c r="AQ97" i="8" l="1"/>
  <c r="Y8" i="3" l="1"/>
  <c r="V21" i="8"/>
  <c r="Z21" i="8"/>
  <c r="Y6" i="3"/>
  <c r="P21" i="8"/>
  <c r="N21" i="8"/>
  <c r="Y4" i="3"/>
  <c r="Y7" i="3"/>
  <c r="R21" i="8"/>
  <c r="Y5" i="3"/>
  <c r="AB5" i="3" l="1"/>
  <c r="AA3" i="3"/>
  <c r="AA4" i="3"/>
  <c r="X4" i="3" s="1"/>
  <c r="AI21" i="8" s="1"/>
  <c r="AA5" i="3"/>
  <c r="AA7" i="3"/>
  <c r="X7" i="3" s="1"/>
  <c r="AL21" i="8" s="1"/>
  <c r="AA8" i="3"/>
  <c r="X8" i="3" s="1"/>
  <c r="AM21" i="8" s="1"/>
  <c r="H283" i="3"/>
  <c r="H282" i="3"/>
  <c r="H281" i="3"/>
  <c r="F281" i="3"/>
  <c r="F323" i="8" s="1"/>
  <c r="F189" i="3"/>
  <c r="U189" i="3" s="1"/>
  <c r="X6" i="3"/>
  <c r="AK21" i="8" s="1"/>
  <c r="Y3" i="3"/>
  <c r="X3" i="3" s="1"/>
  <c r="T189" i="3" l="1"/>
  <c r="S189" i="3"/>
  <c r="R189" i="3"/>
  <c r="Q189" i="3"/>
  <c r="N189" i="3"/>
  <c r="O189" i="3"/>
  <c r="L189" i="3"/>
  <c r="M189" i="3"/>
  <c r="G189" i="3"/>
  <c r="AR323" i="8"/>
  <c r="AA35" i="1"/>
  <c r="W6" i="3"/>
  <c r="AA37" i="1"/>
  <c r="W7" i="3"/>
  <c r="AA39" i="1"/>
  <c r="W8" i="3"/>
  <c r="AA31" i="1"/>
  <c r="W4" i="3"/>
  <c r="AA22" i="1"/>
  <c r="W3" i="3"/>
  <c r="Z5" i="3"/>
  <c r="X5" i="3" s="1"/>
  <c r="AJ21" i="8" s="1"/>
  <c r="AH21" i="8" s="1"/>
  <c r="K189" i="3" l="1"/>
  <c r="I189" i="3"/>
  <c r="H189" i="3"/>
  <c r="P189" i="3"/>
  <c r="J189" i="3"/>
  <c r="Y189" i="3"/>
  <c r="AH189" i="3" s="1"/>
  <c r="F99" i="8"/>
  <c r="J99" i="8" s="1"/>
  <c r="AA33" i="1"/>
  <c r="W5" i="3"/>
  <c r="AQ99" i="8" l="1"/>
  <c r="N282" i="3"/>
  <c r="Z62" i="1"/>
  <c r="N283" i="3" s="1"/>
  <c r="AS325" i="8" l="1"/>
  <c r="AS327" i="8"/>
  <c r="F187" i="3"/>
  <c r="U187" i="3" s="1"/>
  <c r="Q187" i="3" l="1"/>
  <c r="T187" i="3"/>
  <c r="S187" i="3"/>
  <c r="R187" i="3"/>
  <c r="G187" i="3"/>
  <c r="N187" i="3"/>
  <c r="M187" i="3"/>
  <c r="L187" i="3"/>
  <c r="O187" i="3"/>
  <c r="F95" i="8" l="1"/>
  <c r="J95" i="8" s="1"/>
  <c r="AQ95" i="8" s="1"/>
  <c r="J187" i="3"/>
  <c r="K187" i="3"/>
  <c r="H187" i="3"/>
  <c r="I187" i="3"/>
  <c r="P187" i="3"/>
  <c r="Z58" i="1" s="1"/>
  <c r="N281" i="3" s="1"/>
  <c r="Y187" i="3"/>
  <c r="AH187" i="3" s="1"/>
  <c r="AJ184" i="3" s="1"/>
  <c r="Z187" i="3"/>
  <c r="Z188" i="3" l="1"/>
  <c r="X188" i="3" s="1"/>
  <c r="AS323" i="8"/>
  <c r="X187" i="3"/>
  <c r="AA58" i="1" s="1"/>
  <c r="E281" i="3"/>
  <c r="AI276" i="3"/>
  <c r="AJ276" i="3" s="1"/>
  <c r="AI256" i="3"/>
  <c r="AJ256" i="3" s="1"/>
  <c r="AI236" i="3"/>
  <c r="AJ236" i="3" s="1"/>
  <c r="AI216" i="3"/>
  <c r="AJ216" i="3" s="1"/>
  <c r="AI196" i="3"/>
  <c r="AJ196" i="3" s="1"/>
  <c r="AI275" i="3"/>
  <c r="AJ275" i="3" s="1"/>
  <c r="AI255" i="3"/>
  <c r="AJ255" i="3" s="1"/>
  <c r="AI235" i="3"/>
  <c r="AJ235" i="3" s="1"/>
  <c r="AI215" i="3"/>
  <c r="AJ215" i="3" s="1"/>
  <c r="AI195" i="3"/>
  <c r="AJ195" i="3" s="1"/>
  <c r="AI274" i="3"/>
  <c r="AJ274" i="3" s="1"/>
  <c r="AI254" i="3"/>
  <c r="AJ254" i="3" s="1"/>
  <c r="AI234" i="3"/>
  <c r="AJ234" i="3" s="1"/>
  <c r="AI214" i="3"/>
  <c r="AJ214" i="3" s="1"/>
  <c r="AI194" i="3"/>
  <c r="AJ194" i="3" s="1"/>
  <c r="AI273" i="3"/>
  <c r="AJ273" i="3" s="1"/>
  <c r="AI253" i="3"/>
  <c r="AJ253" i="3" s="1"/>
  <c r="AI233" i="3"/>
  <c r="AJ233" i="3" s="1"/>
  <c r="AI213" i="3"/>
  <c r="AJ213" i="3" s="1"/>
  <c r="AI193" i="3"/>
  <c r="AJ193" i="3" s="1"/>
  <c r="AI241" i="3"/>
  <c r="AJ241" i="3" s="1"/>
  <c r="AI272" i="3"/>
  <c r="AJ272" i="3" s="1"/>
  <c r="AI252" i="3"/>
  <c r="AJ252" i="3" s="1"/>
  <c r="AI232" i="3"/>
  <c r="AJ232" i="3" s="1"/>
  <c r="AI212" i="3"/>
  <c r="AJ212" i="3" s="1"/>
  <c r="AI192" i="3"/>
  <c r="AJ192" i="3" s="1"/>
  <c r="AI271" i="3"/>
  <c r="AJ271" i="3" s="1"/>
  <c r="AI251" i="3"/>
  <c r="AJ251" i="3" s="1"/>
  <c r="AI231" i="3"/>
  <c r="AJ231" i="3" s="1"/>
  <c r="AI211" i="3"/>
  <c r="AJ211" i="3" s="1"/>
  <c r="AI191" i="3"/>
  <c r="AJ191" i="3" s="1"/>
  <c r="AI270" i="3"/>
  <c r="AJ270" i="3" s="1"/>
  <c r="AI250" i="3"/>
  <c r="AJ250" i="3" s="1"/>
  <c r="AI230" i="3"/>
  <c r="AJ230" i="3" s="1"/>
  <c r="AI210" i="3"/>
  <c r="AJ210" i="3" s="1"/>
  <c r="AI190" i="3"/>
  <c r="AJ190" i="3" s="1"/>
  <c r="AI269" i="3"/>
  <c r="AJ269" i="3" s="1"/>
  <c r="AI249" i="3"/>
  <c r="AJ249" i="3" s="1"/>
  <c r="AI229" i="3"/>
  <c r="AJ229" i="3" s="1"/>
  <c r="AI209" i="3"/>
  <c r="AJ209" i="3" s="1"/>
  <c r="AI189" i="3"/>
  <c r="AJ189" i="3" s="1"/>
  <c r="AI268" i="3"/>
  <c r="AJ268" i="3" s="1"/>
  <c r="AI248" i="3"/>
  <c r="AJ248" i="3" s="1"/>
  <c r="AI228" i="3"/>
  <c r="AJ228" i="3" s="1"/>
  <c r="AI208" i="3"/>
  <c r="AJ208" i="3" s="1"/>
  <c r="AI188" i="3"/>
  <c r="AI221" i="3"/>
  <c r="AJ221" i="3" s="1"/>
  <c r="AI267" i="3"/>
  <c r="AJ267" i="3" s="1"/>
  <c r="AI247" i="3"/>
  <c r="AJ247" i="3" s="1"/>
  <c r="AI227" i="3"/>
  <c r="AJ227" i="3" s="1"/>
  <c r="AI207" i="3"/>
  <c r="AJ207" i="3" s="1"/>
  <c r="AI187" i="3"/>
  <c r="AI261" i="3"/>
  <c r="AJ261" i="3" s="1"/>
  <c r="AI266" i="3"/>
  <c r="AJ266" i="3" s="1"/>
  <c r="AI246" i="3"/>
  <c r="AJ246" i="3" s="1"/>
  <c r="AI226" i="3"/>
  <c r="AJ226" i="3" s="1"/>
  <c r="AI206" i="3"/>
  <c r="AJ206" i="3" s="1"/>
  <c r="AI265" i="3"/>
  <c r="AJ265" i="3" s="1"/>
  <c r="AI245" i="3"/>
  <c r="AJ245" i="3" s="1"/>
  <c r="AI225" i="3"/>
  <c r="AJ225" i="3" s="1"/>
  <c r="AI205" i="3"/>
  <c r="AJ205" i="3" s="1"/>
  <c r="AI264" i="3"/>
  <c r="AJ264" i="3" s="1"/>
  <c r="AI244" i="3"/>
  <c r="AJ244" i="3" s="1"/>
  <c r="AI224" i="3"/>
  <c r="AJ224" i="3" s="1"/>
  <c r="AI204" i="3"/>
  <c r="AJ204" i="3" s="1"/>
  <c r="AI263" i="3"/>
  <c r="AJ263" i="3" s="1"/>
  <c r="AI243" i="3"/>
  <c r="AJ243" i="3" s="1"/>
  <c r="AI223" i="3"/>
  <c r="AJ223" i="3" s="1"/>
  <c r="AI203" i="3"/>
  <c r="AJ203" i="3" s="1"/>
  <c r="AI262" i="3"/>
  <c r="AJ262" i="3" s="1"/>
  <c r="AI242" i="3"/>
  <c r="AJ242" i="3" s="1"/>
  <c r="AI222" i="3"/>
  <c r="AJ222" i="3" s="1"/>
  <c r="AI202" i="3"/>
  <c r="AJ202" i="3" s="1"/>
  <c r="AI260" i="3"/>
  <c r="AJ260" i="3" s="1"/>
  <c r="AI240" i="3"/>
  <c r="AJ240" i="3" s="1"/>
  <c r="AI220" i="3"/>
  <c r="AJ220" i="3" s="1"/>
  <c r="AI200" i="3"/>
  <c r="AJ200" i="3" s="1"/>
  <c r="AI201" i="3"/>
  <c r="AJ201" i="3" s="1"/>
  <c r="AI259" i="3"/>
  <c r="AJ259" i="3" s="1"/>
  <c r="AI239" i="3"/>
  <c r="AJ239" i="3" s="1"/>
  <c r="AI219" i="3"/>
  <c r="AJ219" i="3" s="1"/>
  <c r="AI199" i="3"/>
  <c r="AJ199" i="3" s="1"/>
  <c r="AI258" i="3"/>
  <c r="AJ258" i="3" s="1"/>
  <c r="AI238" i="3"/>
  <c r="AJ238" i="3" s="1"/>
  <c r="AI218" i="3"/>
  <c r="AJ218" i="3" s="1"/>
  <c r="AI198" i="3"/>
  <c r="AJ198" i="3" s="1"/>
  <c r="AI257" i="3"/>
  <c r="AJ257" i="3" s="1"/>
  <c r="AI237" i="3"/>
  <c r="AJ237" i="3" s="1"/>
  <c r="AI217" i="3"/>
  <c r="AJ217" i="3" s="1"/>
  <c r="AI197" i="3"/>
  <c r="AJ197" i="3" s="1"/>
  <c r="AJ187" i="3" l="1"/>
  <c r="C19" i="18" s="1"/>
  <c r="A19" i="18"/>
  <c r="AJ188" i="3"/>
  <c r="C20" i="18" s="1"/>
  <c r="A20" i="18"/>
  <c r="Z189" i="3"/>
  <c r="X189" i="3" s="1"/>
  <c r="X99" i="8" s="1"/>
  <c r="E282" i="3"/>
  <c r="K281" i="3"/>
  <c r="L323" i="8" s="1"/>
  <c r="L281" i="3"/>
  <c r="AK202" i="3"/>
  <c r="A43" i="15"/>
  <c r="A62" i="14"/>
  <c r="AK247" i="3"/>
  <c r="B107" i="14" s="1"/>
  <c r="J107" i="14" s="1"/>
  <c r="A107" i="14"/>
  <c r="AK232" i="3"/>
  <c r="B92" i="14" s="1"/>
  <c r="J92" i="14" s="1"/>
  <c r="A92" i="14"/>
  <c r="AK222" i="3"/>
  <c r="B82" i="14" s="1"/>
  <c r="J82" i="14" s="1"/>
  <c r="A82" i="14"/>
  <c r="AK267" i="3"/>
  <c r="B127" i="14" s="1"/>
  <c r="J127" i="14" s="1"/>
  <c r="A127" i="14"/>
  <c r="AK252" i="3"/>
  <c r="B112" i="14" s="1"/>
  <c r="J112" i="14" s="1"/>
  <c r="A112" i="14"/>
  <c r="AK257" i="3"/>
  <c r="B117" i="14" s="1"/>
  <c r="J117" i="14" s="1"/>
  <c r="A117" i="14"/>
  <c r="AK242" i="3"/>
  <c r="B102" i="14" s="1"/>
  <c r="J102" i="14" s="1"/>
  <c r="A102" i="14"/>
  <c r="AK205" i="3"/>
  <c r="A46" i="15"/>
  <c r="A65" i="14"/>
  <c r="AK190" i="3"/>
  <c r="A50" i="14"/>
  <c r="A31" i="15"/>
  <c r="AK272" i="3"/>
  <c r="B132" i="14" s="1"/>
  <c r="J132" i="14" s="1"/>
  <c r="A132" i="14"/>
  <c r="AK199" i="3"/>
  <c r="A40" i="15"/>
  <c r="A59" i="14"/>
  <c r="AK262" i="3"/>
  <c r="B122" i="14" s="1"/>
  <c r="J122" i="14" s="1"/>
  <c r="A122" i="14"/>
  <c r="AK225" i="3"/>
  <c r="B85" i="14" s="1"/>
  <c r="J85" i="14" s="1"/>
  <c r="A85" i="14"/>
  <c r="AK210" i="3"/>
  <c r="A51" i="15"/>
  <c r="A70" i="14"/>
  <c r="AK195" i="3"/>
  <c r="A36" i="15"/>
  <c r="A55" i="14"/>
  <c r="AK245" i="3"/>
  <c r="B105" i="14" s="1"/>
  <c r="J105" i="14" s="1"/>
  <c r="A105" i="14"/>
  <c r="AK230" i="3"/>
  <c r="B90" i="14" s="1"/>
  <c r="J90" i="14" s="1"/>
  <c r="A90" i="14"/>
  <c r="AK215" i="3"/>
  <c r="A56" i="15"/>
  <c r="A75" i="14"/>
  <c r="AK239" i="3"/>
  <c r="B99" i="14" s="1"/>
  <c r="J99" i="14" s="1"/>
  <c r="A99" i="14"/>
  <c r="AK265" i="3"/>
  <c r="B125" i="14" s="1"/>
  <c r="J125" i="14" s="1"/>
  <c r="A125" i="14"/>
  <c r="AK221" i="3"/>
  <c r="B81" i="14" s="1"/>
  <c r="J81" i="14" s="1"/>
  <c r="A81" i="14"/>
  <c r="AK250" i="3"/>
  <c r="B110" i="14" s="1"/>
  <c r="J110" i="14" s="1"/>
  <c r="A110" i="14"/>
  <c r="AK235" i="3"/>
  <c r="B95" i="14" s="1"/>
  <c r="J95" i="14" s="1"/>
  <c r="A95" i="14"/>
  <c r="AK219" i="3"/>
  <c r="B79" i="14" s="1"/>
  <c r="J79" i="14" s="1"/>
  <c r="A79" i="14"/>
  <c r="A29" i="15"/>
  <c r="A48" i="14"/>
  <c r="AK270" i="3"/>
  <c r="B130" i="14" s="1"/>
  <c r="J130" i="14" s="1"/>
  <c r="A130" i="14"/>
  <c r="AK241" i="3"/>
  <c r="B101" i="14" s="1"/>
  <c r="J101" i="14" s="1"/>
  <c r="A101" i="14"/>
  <c r="AK255" i="3"/>
  <c r="B115" i="14" s="1"/>
  <c r="J115" i="14" s="1"/>
  <c r="A115" i="14"/>
  <c r="AK259" i="3"/>
  <c r="B119" i="14" s="1"/>
  <c r="J119" i="14" s="1"/>
  <c r="A119" i="14"/>
  <c r="AK208" i="3"/>
  <c r="A49" i="15"/>
  <c r="A68" i="14"/>
  <c r="AK193" i="3"/>
  <c r="A34" i="15"/>
  <c r="A53" i="14"/>
  <c r="AK275" i="3"/>
  <c r="B135" i="14" s="1"/>
  <c r="J135" i="14" s="1"/>
  <c r="A135" i="14"/>
  <c r="AK203" i="3"/>
  <c r="A44" i="15"/>
  <c r="A63" i="14"/>
  <c r="AK228" i="3"/>
  <c r="B88" i="14" s="1"/>
  <c r="J88" i="14" s="1"/>
  <c r="A88" i="14"/>
  <c r="AK213" i="3"/>
  <c r="A54" i="15"/>
  <c r="A73" i="14"/>
  <c r="AK197" i="3"/>
  <c r="A38" i="15"/>
  <c r="A57" i="14"/>
  <c r="AK223" i="3"/>
  <c r="B83" i="14" s="1"/>
  <c r="J83" i="14" s="1"/>
  <c r="A83" i="14"/>
  <c r="AK206" i="3"/>
  <c r="A47" i="15"/>
  <c r="A66" i="14"/>
  <c r="AK248" i="3"/>
  <c r="B108" i="14" s="1"/>
  <c r="J108" i="14" s="1"/>
  <c r="A108" i="14"/>
  <c r="AK233" i="3"/>
  <c r="B93" i="14" s="1"/>
  <c r="J93" i="14" s="1"/>
  <c r="A93" i="14"/>
  <c r="AK217" i="3"/>
  <c r="B77" i="14" s="1"/>
  <c r="J77" i="14" s="1"/>
  <c r="A77" i="14"/>
  <c r="AK201" i="3"/>
  <c r="A42" i="15"/>
  <c r="A61" i="14"/>
  <c r="AK243" i="3"/>
  <c r="B103" i="14" s="1"/>
  <c r="J103" i="14" s="1"/>
  <c r="A103" i="14"/>
  <c r="AK226" i="3"/>
  <c r="B86" i="14" s="1"/>
  <c r="J86" i="14" s="1"/>
  <c r="A86" i="14"/>
  <c r="AK268" i="3"/>
  <c r="B128" i="14" s="1"/>
  <c r="J128" i="14" s="1"/>
  <c r="A128" i="14"/>
  <c r="AK191" i="3"/>
  <c r="A32" i="15"/>
  <c r="A51" i="14"/>
  <c r="AK253" i="3"/>
  <c r="B113" i="14" s="1"/>
  <c r="J113" i="14" s="1"/>
  <c r="A113" i="14"/>
  <c r="AK237" i="3"/>
  <c r="B97" i="14" s="1"/>
  <c r="J97" i="14" s="1"/>
  <c r="A97" i="14"/>
  <c r="AK200" i="3"/>
  <c r="A41" i="15"/>
  <c r="A60" i="14"/>
  <c r="AK263" i="3"/>
  <c r="B123" i="14" s="1"/>
  <c r="J123" i="14" s="1"/>
  <c r="A123" i="14"/>
  <c r="AK246" i="3"/>
  <c r="B106" i="14" s="1"/>
  <c r="J106" i="14" s="1"/>
  <c r="A106" i="14"/>
  <c r="AK211" i="3"/>
  <c r="A52" i="15"/>
  <c r="A71" i="14"/>
  <c r="AK273" i="3"/>
  <c r="B133" i="14" s="1"/>
  <c r="J133" i="14" s="1"/>
  <c r="A133" i="14"/>
  <c r="AK196" i="3"/>
  <c r="A37" i="15"/>
  <c r="A56" i="14"/>
  <c r="AK220" i="3"/>
  <c r="B80" i="14" s="1"/>
  <c r="J80" i="14" s="1"/>
  <c r="A80" i="14"/>
  <c r="AK266" i="3"/>
  <c r="B126" i="14" s="1"/>
  <c r="J126" i="14" s="1"/>
  <c r="A126" i="14"/>
  <c r="AK231" i="3"/>
  <c r="B91" i="14" s="1"/>
  <c r="J91" i="14" s="1"/>
  <c r="A91" i="14"/>
  <c r="AK216" i="3"/>
  <c r="A57" i="15"/>
  <c r="A76" i="14"/>
  <c r="AK240" i="3"/>
  <c r="B100" i="14" s="1"/>
  <c r="J100" i="14" s="1"/>
  <c r="A100" i="14"/>
  <c r="AK251" i="3"/>
  <c r="B111" i="14" s="1"/>
  <c r="J111" i="14" s="1"/>
  <c r="A111" i="14"/>
  <c r="AK236" i="3"/>
  <c r="B96" i="14" s="1"/>
  <c r="J96" i="14" s="1"/>
  <c r="A96" i="14"/>
  <c r="AK260" i="3"/>
  <c r="B120" i="14" s="1"/>
  <c r="J120" i="14" s="1"/>
  <c r="A120" i="14"/>
  <c r="AK189" i="3"/>
  <c r="A30" i="15"/>
  <c r="A49" i="14"/>
  <c r="AK271" i="3"/>
  <c r="B131" i="14" s="1"/>
  <c r="J131" i="14" s="1"/>
  <c r="A131" i="14"/>
  <c r="AK256" i="3"/>
  <c r="B116" i="14" s="1"/>
  <c r="J116" i="14" s="1"/>
  <c r="A116" i="14"/>
  <c r="AK204" i="3"/>
  <c r="A45" i="15"/>
  <c r="A64" i="14"/>
  <c r="AK209" i="3"/>
  <c r="A50" i="15"/>
  <c r="A69" i="14"/>
  <c r="AK194" i="3"/>
  <c r="A35" i="15"/>
  <c r="A54" i="14"/>
  <c r="AK276" i="3"/>
  <c r="B136" i="14" s="1"/>
  <c r="J136" i="14" s="1"/>
  <c r="A136" i="14"/>
  <c r="AK224" i="3"/>
  <c r="B84" i="14" s="1"/>
  <c r="J84" i="14" s="1"/>
  <c r="A84" i="14"/>
  <c r="AK261" i="3"/>
  <c r="B121" i="14" s="1"/>
  <c r="J121" i="14" s="1"/>
  <c r="A121" i="14"/>
  <c r="AK229" i="3"/>
  <c r="B89" i="14" s="1"/>
  <c r="J89" i="14" s="1"/>
  <c r="A89" i="14"/>
  <c r="AK214" i="3"/>
  <c r="A55" i="15"/>
  <c r="A74" i="14"/>
  <c r="AK218" i="3"/>
  <c r="B78" i="14" s="1"/>
  <c r="J78" i="14" s="1"/>
  <c r="A78" i="14"/>
  <c r="AK244" i="3"/>
  <c r="B104" i="14" s="1"/>
  <c r="J104" i="14" s="1"/>
  <c r="A104" i="14"/>
  <c r="A28" i="15"/>
  <c r="A47" i="14"/>
  <c r="AK249" i="3"/>
  <c r="B109" i="14" s="1"/>
  <c r="J109" i="14" s="1"/>
  <c r="A109" i="14"/>
  <c r="AK234" i="3"/>
  <c r="B94" i="14" s="1"/>
  <c r="J94" i="14" s="1"/>
  <c r="A94" i="14"/>
  <c r="AK238" i="3"/>
  <c r="B98" i="14" s="1"/>
  <c r="J98" i="14" s="1"/>
  <c r="A98" i="14"/>
  <c r="AK264" i="3"/>
  <c r="B124" i="14" s="1"/>
  <c r="J124" i="14" s="1"/>
  <c r="A124" i="14"/>
  <c r="AK207" i="3"/>
  <c r="A48" i="15"/>
  <c r="A67" i="14"/>
  <c r="AK269" i="3"/>
  <c r="B129" i="14" s="1"/>
  <c r="J129" i="14" s="1"/>
  <c r="A129" i="14"/>
  <c r="AK192" i="3"/>
  <c r="A33" i="15"/>
  <c r="A52" i="14"/>
  <c r="AK254" i="3"/>
  <c r="B114" i="14" s="1"/>
  <c r="J114" i="14" s="1"/>
  <c r="A114" i="14"/>
  <c r="AK198" i="3"/>
  <c r="A39" i="15"/>
  <c r="A58" i="14"/>
  <c r="AK258" i="3"/>
  <c r="B118" i="14" s="1"/>
  <c r="J118" i="14" s="1"/>
  <c r="A118" i="14"/>
  <c r="AK227" i="3"/>
  <c r="B87" i="14" s="1"/>
  <c r="J87" i="14" s="1"/>
  <c r="A87" i="14"/>
  <c r="AK212" i="3"/>
  <c r="A53" i="15"/>
  <c r="A72" i="14"/>
  <c r="AK274" i="3"/>
  <c r="B134" i="14" s="1"/>
  <c r="J134" i="14" s="1"/>
  <c r="A134" i="14"/>
  <c r="AK188" i="3"/>
  <c r="B20" i="18" s="1"/>
  <c r="J20" i="18" s="1"/>
  <c r="AK187" i="3"/>
  <c r="B19" i="18" s="1"/>
  <c r="C107" i="14"/>
  <c r="C92" i="14"/>
  <c r="C132" i="14"/>
  <c r="C122" i="14"/>
  <c r="C85" i="14"/>
  <c r="C105" i="14"/>
  <c r="C90" i="14"/>
  <c r="C125" i="14"/>
  <c r="C81" i="14"/>
  <c r="C110" i="14"/>
  <c r="C95" i="14"/>
  <c r="C79" i="14"/>
  <c r="C119" i="14"/>
  <c r="C130" i="14"/>
  <c r="C101" i="14"/>
  <c r="C115" i="14"/>
  <c r="C102" i="14"/>
  <c r="C135" i="14"/>
  <c r="C88" i="14"/>
  <c r="C99" i="14"/>
  <c r="C83" i="14"/>
  <c r="C108" i="14"/>
  <c r="C93" i="14"/>
  <c r="C82" i="14"/>
  <c r="C103" i="14"/>
  <c r="C86" i="14"/>
  <c r="C128" i="14"/>
  <c r="C113" i="14"/>
  <c r="C77" i="14"/>
  <c r="C97" i="14"/>
  <c r="C123" i="14"/>
  <c r="C106" i="14"/>
  <c r="C133" i="14"/>
  <c r="C80" i="14"/>
  <c r="C126" i="14"/>
  <c r="C91" i="14"/>
  <c r="C117" i="14"/>
  <c r="C100" i="14"/>
  <c r="C111" i="14"/>
  <c r="C96" i="14"/>
  <c r="C120" i="14"/>
  <c r="C131" i="14"/>
  <c r="C116" i="14"/>
  <c r="C127" i="14"/>
  <c r="C136" i="14"/>
  <c r="C84" i="14"/>
  <c r="C121" i="14"/>
  <c r="C89" i="14"/>
  <c r="C104" i="14"/>
  <c r="C109" i="14"/>
  <c r="C94" i="14"/>
  <c r="C78" i="14"/>
  <c r="C98" i="14"/>
  <c r="C124" i="14"/>
  <c r="C129" i="14"/>
  <c r="C114" i="14"/>
  <c r="C112" i="14"/>
  <c r="C118" i="14"/>
  <c r="C87" i="14"/>
  <c r="C134" i="14"/>
  <c r="J12" i="16" l="1"/>
  <c r="J51" i="16"/>
  <c r="AF95" i="14"/>
  <c r="F51" i="16" s="1"/>
  <c r="J28" i="16"/>
  <c r="J50" i="16"/>
  <c r="AF94" i="14"/>
  <c r="F50" i="16" s="1"/>
  <c r="J34" i="16"/>
  <c r="AF78" i="14"/>
  <c r="F34" i="16" s="1"/>
  <c r="J25" i="16"/>
  <c r="J87" i="16"/>
  <c r="AF131" i="14"/>
  <c r="F87" i="16" s="1"/>
  <c r="J47" i="16"/>
  <c r="AF91" i="14"/>
  <c r="F47" i="16" s="1"/>
  <c r="J79" i="16"/>
  <c r="AF123" i="14"/>
  <c r="F79" i="16" s="1"/>
  <c r="J59" i="16"/>
  <c r="AF103" i="14"/>
  <c r="F59" i="16" s="1"/>
  <c r="J13" i="16"/>
  <c r="J19" i="16"/>
  <c r="J24" i="16"/>
  <c r="J11" i="16"/>
  <c r="J78" i="16"/>
  <c r="AF122" i="14"/>
  <c r="F78" i="16" s="1"/>
  <c r="J54" i="16"/>
  <c r="AF98" i="14"/>
  <c r="F54" i="16" s="1"/>
  <c r="J23" i="16"/>
  <c r="J40" i="16"/>
  <c r="AF84" i="14"/>
  <c r="F40" i="16" s="1"/>
  <c r="J67" i="16"/>
  <c r="AF111" i="14"/>
  <c r="F67" i="16" s="1"/>
  <c r="J89" i="16"/>
  <c r="AF133" i="14"/>
  <c r="F89" i="16" s="1"/>
  <c r="J64" i="16"/>
  <c r="AF108" i="14"/>
  <c r="F64" i="16" s="1"/>
  <c r="J86" i="16"/>
  <c r="AF130" i="14"/>
  <c r="F86" i="16" s="1"/>
  <c r="J66" i="16"/>
  <c r="AF110" i="14"/>
  <c r="F66" i="16" s="1"/>
  <c r="J31" i="16"/>
  <c r="J68" i="16"/>
  <c r="AF112" i="14"/>
  <c r="F68" i="16" s="1"/>
  <c r="J63" i="16"/>
  <c r="AF107" i="14"/>
  <c r="F63" i="16" s="1"/>
  <c r="J14" i="16"/>
  <c r="J77" i="16"/>
  <c r="AF121" i="14"/>
  <c r="F77" i="16" s="1"/>
  <c r="J55" i="16"/>
  <c r="AF99" i="14"/>
  <c r="F55" i="16" s="1"/>
  <c r="J70" i="16"/>
  <c r="AF114" i="14"/>
  <c r="F70" i="16" s="1"/>
  <c r="J65" i="16"/>
  <c r="AF109" i="14"/>
  <c r="F65" i="16" s="1"/>
  <c r="J30" i="16"/>
  <c r="J82" i="16"/>
  <c r="AF126" i="14"/>
  <c r="F82" i="16" s="1"/>
  <c r="J16" i="16"/>
  <c r="J17" i="16"/>
  <c r="J15" i="16"/>
  <c r="J21" i="16"/>
  <c r="J90" i="16"/>
  <c r="AF134" i="14"/>
  <c r="F90" i="16" s="1"/>
  <c r="J41" i="16"/>
  <c r="AF85" i="14"/>
  <c r="F41" i="16" s="1"/>
  <c r="J69" i="16"/>
  <c r="AF113" i="14"/>
  <c r="F69" i="16" s="1"/>
  <c r="J48" i="16"/>
  <c r="AF92" i="14"/>
  <c r="F48" i="16" s="1"/>
  <c r="J43" i="16"/>
  <c r="AF87" i="14"/>
  <c r="F43" i="16" s="1"/>
  <c r="J92" i="16"/>
  <c r="AF136" i="14"/>
  <c r="F92" i="16" s="1"/>
  <c r="J20" i="16"/>
  <c r="J56" i="16"/>
  <c r="AF100" i="14"/>
  <c r="F56" i="16" s="1"/>
  <c r="J27" i="16"/>
  <c r="J22" i="16"/>
  <c r="J29" i="16"/>
  <c r="J91" i="16"/>
  <c r="AF135" i="14"/>
  <c r="F91" i="16" s="1"/>
  <c r="J75" i="16"/>
  <c r="AF119" i="14"/>
  <c r="F75" i="16" s="1"/>
  <c r="J37" i="16"/>
  <c r="AF81" i="14"/>
  <c r="F37" i="16" s="1"/>
  <c r="J26" i="16"/>
  <c r="J83" i="16"/>
  <c r="AF127" i="14"/>
  <c r="F83" i="16" s="1"/>
  <c r="J18" i="16"/>
  <c r="J62" i="16"/>
  <c r="AF106" i="14"/>
  <c r="F62" i="16" s="1"/>
  <c r="J42" i="16"/>
  <c r="AF86" i="14"/>
  <c r="F42" i="16" s="1"/>
  <c r="J39" i="16"/>
  <c r="AF83" i="14"/>
  <c r="F39" i="16" s="1"/>
  <c r="J44" i="16"/>
  <c r="AF88" i="14"/>
  <c r="F44" i="16" s="1"/>
  <c r="J49" i="16"/>
  <c r="AF93" i="14"/>
  <c r="F49" i="16" s="1"/>
  <c r="J57" i="16"/>
  <c r="AF101" i="14"/>
  <c r="F57" i="16" s="1"/>
  <c r="J73" i="16"/>
  <c r="AF117" i="14"/>
  <c r="F73" i="16" s="1"/>
  <c r="J80" i="16"/>
  <c r="AF124" i="14"/>
  <c r="F80" i="16" s="1"/>
  <c r="J36" i="16"/>
  <c r="AF80" i="14"/>
  <c r="F36" i="16" s="1"/>
  <c r="J84" i="16"/>
  <c r="AF128" i="14"/>
  <c r="F84" i="16" s="1"/>
  <c r="J46" i="16"/>
  <c r="AF90" i="14"/>
  <c r="F46" i="16" s="1"/>
  <c r="J60" i="16"/>
  <c r="AF104" i="14"/>
  <c r="F60" i="16" s="1"/>
  <c r="J72" i="16"/>
  <c r="AF116" i="14"/>
  <c r="F72" i="16" s="1"/>
  <c r="J61" i="16"/>
  <c r="AF105" i="14"/>
  <c r="F61" i="16" s="1"/>
  <c r="J85" i="16"/>
  <c r="AF129" i="14"/>
  <c r="F85" i="16" s="1"/>
  <c r="J52" i="16"/>
  <c r="AF96" i="14"/>
  <c r="F52" i="16" s="1"/>
  <c r="J74" i="16"/>
  <c r="AF118" i="14"/>
  <c r="F74" i="16" s="1"/>
  <c r="J45" i="16"/>
  <c r="AF89" i="14"/>
  <c r="F45" i="16" s="1"/>
  <c r="J10" i="16"/>
  <c r="J76" i="16"/>
  <c r="AF120" i="14"/>
  <c r="F76" i="16" s="1"/>
  <c r="J32" i="16"/>
  <c r="J53" i="16"/>
  <c r="AF97" i="14"/>
  <c r="F53" i="16" s="1"/>
  <c r="J33" i="16"/>
  <c r="AF77" i="14"/>
  <c r="F33" i="16" s="1"/>
  <c r="J71" i="16"/>
  <c r="AF115" i="14"/>
  <c r="F71" i="16" s="1"/>
  <c r="J35" i="16"/>
  <c r="AF79" i="14"/>
  <c r="F35" i="16" s="1"/>
  <c r="J81" i="16"/>
  <c r="AF125" i="14"/>
  <c r="F81" i="16" s="1"/>
  <c r="J88" i="16"/>
  <c r="AF132" i="14"/>
  <c r="F88" i="16" s="1"/>
  <c r="J58" i="16"/>
  <c r="AF102" i="14"/>
  <c r="F58" i="16" s="1"/>
  <c r="J38" i="16"/>
  <c r="AF82" i="14"/>
  <c r="F38" i="16" s="1"/>
  <c r="E283" i="3"/>
  <c r="Y76" i="1" s="1"/>
  <c r="L282" i="3"/>
  <c r="Y74" i="1"/>
  <c r="H20" i="18"/>
  <c r="E20" i="18"/>
  <c r="G20" i="18"/>
  <c r="D20" i="18"/>
  <c r="AF20" i="18"/>
  <c r="N20" i="18"/>
  <c r="W20" i="18"/>
  <c r="F20" i="18"/>
  <c r="N19" i="18"/>
  <c r="D19" i="18"/>
  <c r="W19" i="18"/>
  <c r="G19" i="18"/>
  <c r="AF19" i="18"/>
  <c r="E19" i="18"/>
  <c r="F19" i="18"/>
  <c r="H19" i="18"/>
  <c r="Z190" i="3"/>
  <c r="Z191" i="3" s="1"/>
  <c r="K282" i="3"/>
  <c r="L325" i="8" s="1"/>
  <c r="AF28" i="15"/>
  <c r="W28" i="15"/>
  <c r="N28" i="15"/>
  <c r="AI184" i="3" a="1"/>
  <c r="AI184" i="3" s="1"/>
  <c r="AK184" i="3" s="1"/>
  <c r="C44" i="15"/>
  <c r="W44" i="15" s="1"/>
  <c r="C63" i="14"/>
  <c r="W63" i="14" s="1"/>
  <c r="D19" i="16" s="1"/>
  <c r="G47" i="14"/>
  <c r="H47" i="14"/>
  <c r="D47" i="14"/>
  <c r="F47" i="14"/>
  <c r="E47" i="14"/>
  <c r="G116" i="14"/>
  <c r="G72" i="16" s="1"/>
  <c r="W116" i="14"/>
  <c r="D72" i="16" s="1"/>
  <c r="H72" i="16"/>
  <c r="I72" i="16"/>
  <c r="N116" i="14"/>
  <c r="B72" i="16" s="1"/>
  <c r="A72" i="16" s="1"/>
  <c r="D116" i="14"/>
  <c r="E116" i="14"/>
  <c r="F116" i="14"/>
  <c r="E72" i="16" s="1"/>
  <c r="H116" i="14"/>
  <c r="G126" i="14"/>
  <c r="G82" i="16" s="1"/>
  <c r="H82" i="16"/>
  <c r="W126" i="14"/>
  <c r="D82" i="16" s="1"/>
  <c r="N126" i="14"/>
  <c r="B82" i="16" s="1"/>
  <c r="A82" i="16" s="1"/>
  <c r="F126" i="14"/>
  <c r="E82" i="16" s="1"/>
  <c r="E126" i="14"/>
  <c r="D126" i="14"/>
  <c r="H126" i="14"/>
  <c r="I82" i="16" s="1"/>
  <c r="D60" i="14"/>
  <c r="H60" i="14"/>
  <c r="E60" i="14"/>
  <c r="G60" i="14"/>
  <c r="F60" i="14"/>
  <c r="B42" i="15"/>
  <c r="J42" i="15" s="1"/>
  <c r="B61" i="14"/>
  <c r="J61" i="14" s="1"/>
  <c r="B38" i="15"/>
  <c r="J38" i="15" s="1"/>
  <c r="B57" i="14"/>
  <c r="J57" i="14" s="1"/>
  <c r="E34" i="15"/>
  <c r="G34" i="15"/>
  <c r="D34" i="15"/>
  <c r="H34" i="15"/>
  <c r="F34" i="15"/>
  <c r="C28" i="15"/>
  <c r="C47" i="14"/>
  <c r="H3" i="16" s="1"/>
  <c r="D67" i="14"/>
  <c r="G67" i="14"/>
  <c r="E67" i="14"/>
  <c r="F67" i="14"/>
  <c r="H67" i="14"/>
  <c r="H28" i="15"/>
  <c r="E28" i="15"/>
  <c r="F28" i="15"/>
  <c r="D28" i="15"/>
  <c r="G28" i="15"/>
  <c r="G136" i="14"/>
  <c r="G92" i="16" s="1"/>
  <c r="W136" i="14"/>
  <c r="D92" i="16" s="1"/>
  <c r="H92" i="16"/>
  <c r="N136" i="14"/>
  <c r="B92" i="16" s="1"/>
  <c r="A92" i="16" s="1"/>
  <c r="H136" i="14"/>
  <c r="I92" i="16" s="1"/>
  <c r="F136" i="14"/>
  <c r="E92" i="16" s="1"/>
  <c r="E136" i="14"/>
  <c r="D136" i="14"/>
  <c r="E111" i="14"/>
  <c r="N111" i="14"/>
  <c r="B67" i="16" s="1"/>
  <c r="A67" i="16" s="1"/>
  <c r="H67" i="16"/>
  <c r="W111" i="14"/>
  <c r="D67" i="16" s="1"/>
  <c r="F111" i="14"/>
  <c r="E67" i="16" s="1"/>
  <c r="D111" i="14"/>
  <c r="H111" i="14"/>
  <c r="I67" i="16" s="1"/>
  <c r="G111" i="14"/>
  <c r="G67" i="16" s="1"/>
  <c r="G41" i="15"/>
  <c r="H41" i="15"/>
  <c r="D41" i="15"/>
  <c r="E41" i="15"/>
  <c r="F41" i="15"/>
  <c r="D77" i="14"/>
  <c r="H33" i="16"/>
  <c r="W77" i="14"/>
  <c r="D33" i="16" s="1"/>
  <c r="N77" i="14"/>
  <c r="B33" i="16" s="1"/>
  <c r="A33" i="16" s="1"/>
  <c r="E77" i="14"/>
  <c r="G77" i="14"/>
  <c r="G33" i="16" s="1"/>
  <c r="H77" i="14"/>
  <c r="I33" i="16" s="1"/>
  <c r="F77" i="14"/>
  <c r="E33" i="16" s="1"/>
  <c r="B34" i="15"/>
  <c r="J34" i="15" s="1"/>
  <c r="B53" i="14"/>
  <c r="J53" i="14" s="1"/>
  <c r="H48" i="14"/>
  <c r="E48" i="14"/>
  <c r="F48" i="14"/>
  <c r="D48" i="14"/>
  <c r="G48" i="14"/>
  <c r="D99" i="14"/>
  <c r="W99" i="14"/>
  <c r="D55" i="16" s="1"/>
  <c r="H55" i="16"/>
  <c r="N99" i="14"/>
  <c r="B55" i="16" s="1"/>
  <c r="A55" i="16" s="1"/>
  <c r="F99" i="14"/>
  <c r="E55" i="16" s="1"/>
  <c r="G99" i="14"/>
  <c r="G55" i="16" s="1"/>
  <c r="E99" i="14"/>
  <c r="H99" i="14"/>
  <c r="I55" i="16" s="1"/>
  <c r="D70" i="14"/>
  <c r="G70" i="14"/>
  <c r="E70" i="14"/>
  <c r="F70" i="14"/>
  <c r="H70" i="14"/>
  <c r="C46" i="15"/>
  <c r="C65" i="14"/>
  <c r="AF65" i="14" s="1"/>
  <c r="F21" i="16" s="1"/>
  <c r="H48" i="15"/>
  <c r="G48" i="15"/>
  <c r="E48" i="15"/>
  <c r="D48" i="15"/>
  <c r="F48" i="15"/>
  <c r="D104" i="14"/>
  <c r="E60" i="16"/>
  <c r="H60" i="16"/>
  <c r="W104" i="14"/>
  <c r="D60" i="16" s="1"/>
  <c r="N104" i="14"/>
  <c r="B60" i="16" s="1"/>
  <c r="A60" i="16" s="1"/>
  <c r="H104" i="14"/>
  <c r="I60" i="16" s="1"/>
  <c r="G104" i="14"/>
  <c r="G60" i="16" s="1"/>
  <c r="F104" i="14"/>
  <c r="E104" i="14"/>
  <c r="B41" i="15"/>
  <c r="J41" i="15" s="1"/>
  <c r="B60" i="14"/>
  <c r="J60" i="14" s="1"/>
  <c r="E29" i="15"/>
  <c r="F29" i="15"/>
  <c r="H29" i="15"/>
  <c r="G29" i="15"/>
  <c r="D29" i="15"/>
  <c r="E51" i="15"/>
  <c r="D51" i="15"/>
  <c r="H51" i="15"/>
  <c r="F51" i="15"/>
  <c r="G51" i="15"/>
  <c r="D65" i="14"/>
  <c r="G65" i="14"/>
  <c r="H65" i="14"/>
  <c r="E65" i="14"/>
  <c r="F65" i="14"/>
  <c r="B48" i="15"/>
  <c r="J48" i="15" s="1"/>
  <c r="B67" i="14"/>
  <c r="J67" i="14" s="1"/>
  <c r="F54" i="14"/>
  <c r="G54" i="14"/>
  <c r="H54" i="14"/>
  <c r="D54" i="14"/>
  <c r="E54" i="14"/>
  <c r="D97" i="14"/>
  <c r="H53" i="16"/>
  <c r="N97" i="14"/>
  <c r="B53" i="16" s="1"/>
  <c r="A53" i="16" s="1"/>
  <c r="W97" i="14"/>
  <c r="D53" i="16" s="1"/>
  <c r="G97" i="14"/>
  <c r="G53" i="16" s="1"/>
  <c r="H97" i="14"/>
  <c r="I53" i="16" s="1"/>
  <c r="F97" i="14"/>
  <c r="E53" i="16" s="1"/>
  <c r="E97" i="14"/>
  <c r="F73" i="14"/>
  <c r="G73" i="14"/>
  <c r="E73" i="14"/>
  <c r="D73" i="14"/>
  <c r="H73" i="14"/>
  <c r="E75" i="14"/>
  <c r="F75" i="14"/>
  <c r="D75" i="14"/>
  <c r="G75" i="14"/>
  <c r="H75" i="14"/>
  <c r="B51" i="15"/>
  <c r="J51" i="15" s="1"/>
  <c r="B70" i="14"/>
  <c r="J70" i="14" s="1"/>
  <c r="E46" i="15"/>
  <c r="G46" i="15"/>
  <c r="D46" i="15"/>
  <c r="F46" i="15"/>
  <c r="H46" i="15"/>
  <c r="D82" i="14"/>
  <c r="H38" i="16"/>
  <c r="W82" i="14"/>
  <c r="D38" i="16" s="1"/>
  <c r="N82" i="14"/>
  <c r="B38" i="16" s="1"/>
  <c r="A38" i="16" s="1"/>
  <c r="E82" i="14"/>
  <c r="H82" i="14"/>
  <c r="I38" i="16" s="1"/>
  <c r="G82" i="14"/>
  <c r="G38" i="16" s="1"/>
  <c r="F82" i="14"/>
  <c r="E38" i="16" s="1"/>
  <c r="C32" i="15"/>
  <c r="C51" i="14"/>
  <c r="J7" i="16" s="1"/>
  <c r="C42" i="15"/>
  <c r="N42" i="15" s="1"/>
  <c r="C61" i="14"/>
  <c r="W61" i="14" s="1"/>
  <c r="D17" i="16" s="1"/>
  <c r="C34" i="15"/>
  <c r="C53" i="14"/>
  <c r="W53" i="14" s="1"/>
  <c r="D9" i="16" s="1"/>
  <c r="D124" i="14"/>
  <c r="H80" i="16"/>
  <c r="W124" i="14"/>
  <c r="D80" i="16" s="1"/>
  <c r="N124" i="14"/>
  <c r="B80" i="16" s="1"/>
  <c r="A80" i="16" s="1"/>
  <c r="H124" i="14"/>
  <c r="I80" i="16" s="1"/>
  <c r="G124" i="14"/>
  <c r="G80" i="16" s="1"/>
  <c r="F124" i="14"/>
  <c r="E80" i="16" s="1"/>
  <c r="E124" i="14"/>
  <c r="F78" i="14"/>
  <c r="E34" i="16" s="1"/>
  <c r="W78" i="14"/>
  <c r="D34" i="16" s="1"/>
  <c r="H34" i="16"/>
  <c r="N78" i="14"/>
  <c r="B34" i="16" s="1"/>
  <c r="A34" i="16" s="1"/>
  <c r="D78" i="14"/>
  <c r="E78" i="14"/>
  <c r="G78" i="14"/>
  <c r="G34" i="16" s="1"/>
  <c r="H78" i="14"/>
  <c r="I34" i="16" s="1"/>
  <c r="H35" i="15"/>
  <c r="G35" i="15"/>
  <c r="F35" i="15"/>
  <c r="D35" i="15"/>
  <c r="E35" i="15"/>
  <c r="G131" i="14"/>
  <c r="G87" i="16" s="1"/>
  <c r="N131" i="14"/>
  <c r="B87" i="16" s="1"/>
  <c r="A87" i="16" s="1"/>
  <c r="W131" i="14"/>
  <c r="D87" i="16" s="1"/>
  <c r="H87" i="16"/>
  <c r="E131" i="14"/>
  <c r="H131" i="14"/>
  <c r="I87" i="16" s="1"/>
  <c r="F131" i="14"/>
  <c r="E87" i="16" s="1"/>
  <c r="D131" i="14"/>
  <c r="E80" i="14"/>
  <c r="H36" i="16"/>
  <c r="W80" i="14"/>
  <c r="D36" i="16" s="1"/>
  <c r="N80" i="14"/>
  <c r="B36" i="16" s="1"/>
  <c r="A36" i="16" s="1"/>
  <c r="F80" i="14"/>
  <c r="E36" i="16" s="1"/>
  <c r="H80" i="14"/>
  <c r="I36" i="16" s="1"/>
  <c r="D80" i="14"/>
  <c r="G80" i="14"/>
  <c r="G36" i="16" s="1"/>
  <c r="D54" i="15"/>
  <c r="E54" i="15"/>
  <c r="G54" i="15"/>
  <c r="F54" i="15"/>
  <c r="H54" i="15"/>
  <c r="G68" i="14"/>
  <c r="H68" i="14"/>
  <c r="F68" i="14"/>
  <c r="E68" i="14"/>
  <c r="D68" i="14"/>
  <c r="F56" i="15"/>
  <c r="G56" i="15"/>
  <c r="D56" i="15"/>
  <c r="E56" i="15"/>
  <c r="H56" i="15"/>
  <c r="B46" i="15"/>
  <c r="J46" i="15" s="1"/>
  <c r="B65" i="14"/>
  <c r="J65" i="14" s="1"/>
  <c r="E118" i="14"/>
  <c r="N118" i="14"/>
  <c r="B74" i="16" s="1"/>
  <c r="A74" i="16" s="1"/>
  <c r="H74" i="16"/>
  <c r="W118" i="14"/>
  <c r="D74" i="16" s="1"/>
  <c r="G118" i="14"/>
  <c r="G74" i="16" s="1"/>
  <c r="F118" i="14"/>
  <c r="E74" i="16" s="1"/>
  <c r="D118" i="14"/>
  <c r="H118" i="14"/>
  <c r="I74" i="16" s="1"/>
  <c r="B35" i="15"/>
  <c r="J35" i="15" s="1"/>
  <c r="B54" i="14"/>
  <c r="J54" i="14" s="1"/>
  <c r="D93" i="14"/>
  <c r="W93" i="14"/>
  <c r="D49" i="16" s="1"/>
  <c r="H49" i="16"/>
  <c r="N93" i="14"/>
  <c r="B49" i="16" s="1"/>
  <c r="A49" i="16" s="1"/>
  <c r="G93" i="14"/>
  <c r="G49" i="16" s="1"/>
  <c r="F93" i="14"/>
  <c r="E49" i="16" s="1"/>
  <c r="E93" i="14"/>
  <c r="H93" i="14"/>
  <c r="I49" i="16" s="1"/>
  <c r="B54" i="15"/>
  <c r="J54" i="15" s="1"/>
  <c r="B73" i="14"/>
  <c r="J73" i="14" s="1"/>
  <c r="E49" i="15"/>
  <c r="H49" i="15"/>
  <c r="D49" i="15"/>
  <c r="F49" i="15"/>
  <c r="G49" i="15"/>
  <c r="B56" i="15"/>
  <c r="J56" i="15" s="1"/>
  <c r="B75" i="14"/>
  <c r="J75" i="14" s="1"/>
  <c r="W102" i="14"/>
  <c r="D58" i="16" s="1"/>
  <c r="N102" i="14"/>
  <c r="B58" i="16" s="1"/>
  <c r="A58" i="16" s="1"/>
  <c r="H102" i="14"/>
  <c r="I58" i="16" s="1"/>
  <c r="G102" i="14"/>
  <c r="G58" i="16" s="1"/>
  <c r="F102" i="14"/>
  <c r="E58" i="16" s="1"/>
  <c r="E102" i="14"/>
  <c r="D102" i="14"/>
  <c r="H58" i="16"/>
  <c r="C49" i="14"/>
  <c r="H5" i="16" s="1"/>
  <c r="C30" i="15"/>
  <c r="N30" i="15" s="1"/>
  <c r="C31" i="15"/>
  <c r="C50" i="14"/>
  <c r="N50" i="14" s="1"/>
  <c r="B6" i="16" s="1"/>
  <c r="A6" i="16" s="1"/>
  <c r="C49" i="15"/>
  <c r="C68" i="14"/>
  <c r="AF68" i="14" s="1"/>
  <c r="C56" i="15"/>
  <c r="W56" i="15" s="1"/>
  <c r="C75" i="14"/>
  <c r="AF75" i="14" s="1"/>
  <c r="D49" i="14"/>
  <c r="H49" i="14"/>
  <c r="G49" i="14"/>
  <c r="F49" i="14"/>
  <c r="E49" i="14"/>
  <c r="E56" i="14"/>
  <c r="H56" i="14"/>
  <c r="G56" i="14"/>
  <c r="D56" i="14"/>
  <c r="F56" i="14"/>
  <c r="B49" i="15"/>
  <c r="J49" i="15" s="1"/>
  <c r="B68" i="14"/>
  <c r="J68" i="14" s="1"/>
  <c r="E85" i="14"/>
  <c r="H41" i="16"/>
  <c r="W85" i="14"/>
  <c r="D41" i="16" s="1"/>
  <c r="N85" i="14"/>
  <c r="B41" i="16" s="1"/>
  <c r="A41" i="16" s="1"/>
  <c r="H85" i="14"/>
  <c r="I41" i="16" s="1"/>
  <c r="F85" i="14"/>
  <c r="E41" i="16" s="1"/>
  <c r="G85" i="14"/>
  <c r="G41" i="16" s="1"/>
  <c r="D85" i="14"/>
  <c r="C37" i="15"/>
  <c r="C56" i="14"/>
  <c r="AF56" i="14" s="1"/>
  <c r="C43" i="15"/>
  <c r="N43" i="15" s="1"/>
  <c r="C62" i="14"/>
  <c r="H18" i="16" s="1"/>
  <c r="H30" i="15"/>
  <c r="F30" i="15"/>
  <c r="E30" i="15"/>
  <c r="D30" i="15"/>
  <c r="G30" i="15"/>
  <c r="H37" i="15"/>
  <c r="F37" i="15"/>
  <c r="G37" i="15"/>
  <c r="E37" i="15"/>
  <c r="D37" i="15"/>
  <c r="D113" i="14"/>
  <c r="H69" i="16"/>
  <c r="N113" i="14"/>
  <c r="B69" i="16" s="1"/>
  <c r="A69" i="16" s="1"/>
  <c r="W113" i="14"/>
  <c r="D69" i="16" s="1"/>
  <c r="F113" i="14"/>
  <c r="E69" i="16" s="1"/>
  <c r="E113" i="14"/>
  <c r="H113" i="14"/>
  <c r="I69" i="16" s="1"/>
  <c r="G113" i="14"/>
  <c r="G69" i="16" s="1"/>
  <c r="D79" i="14"/>
  <c r="W79" i="14"/>
  <c r="D35" i="16" s="1"/>
  <c r="H35" i="16"/>
  <c r="N79" i="14"/>
  <c r="B35" i="16" s="1"/>
  <c r="A35" i="16" s="1"/>
  <c r="E79" i="14"/>
  <c r="F79" i="14"/>
  <c r="E35" i="16" s="1"/>
  <c r="H79" i="14"/>
  <c r="I35" i="16" s="1"/>
  <c r="G79" i="14"/>
  <c r="G35" i="16" s="1"/>
  <c r="D92" i="14"/>
  <c r="W92" i="14"/>
  <c r="D48" i="16" s="1"/>
  <c r="N92" i="14"/>
  <c r="B48" i="16" s="1"/>
  <c r="A48" i="16" s="1"/>
  <c r="H48" i="16"/>
  <c r="H92" i="14"/>
  <c r="I48" i="16" s="1"/>
  <c r="G92" i="14"/>
  <c r="G48" i="16" s="1"/>
  <c r="F92" i="14"/>
  <c r="E48" i="16" s="1"/>
  <c r="E92" i="14"/>
  <c r="H98" i="14"/>
  <c r="G54" i="16"/>
  <c r="W98" i="14"/>
  <c r="D54" i="16" s="1"/>
  <c r="H54" i="16"/>
  <c r="I54" i="16"/>
  <c r="N98" i="14"/>
  <c r="B54" i="16" s="1"/>
  <c r="A54" i="16" s="1"/>
  <c r="G98" i="14"/>
  <c r="F98" i="14"/>
  <c r="E54" i="16" s="1"/>
  <c r="D98" i="14"/>
  <c r="E98" i="14"/>
  <c r="D74" i="14"/>
  <c r="F74" i="14"/>
  <c r="E74" i="14"/>
  <c r="H74" i="14"/>
  <c r="G74" i="14"/>
  <c r="D69" i="14"/>
  <c r="E69" i="14"/>
  <c r="H69" i="14"/>
  <c r="F69" i="14"/>
  <c r="G69" i="14"/>
  <c r="B30" i="15"/>
  <c r="J30" i="15" s="1"/>
  <c r="B49" i="14"/>
  <c r="J49" i="14" s="1"/>
  <c r="B56" i="14"/>
  <c r="J56" i="14" s="1"/>
  <c r="B37" i="15"/>
  <c r="J37" i="15" s="1"/>
  <c r="F88" i="14"/>
  <c r="E44" i="16" s="1"/>
  <c r="H44" i="16"/>
  <c r="W88" i="14"/>
  <c r="D44" i="16" s="1"/>
  <c r="N88" i="14"/>
  <c r="B44" i="16" s="1"/>
  <c r="A44" i="16" s="1"/>
  <c r="E88" i="14"/>
  <c r="G88" i="14"/>
  <c r="G44" i="16" s="1"/>
  <c r="D88" i="14"/>
  <c r="H88" i="14"/>
  <c r="I44" i="16" s="1"/>
  <c r="D90" i="14"/>
  <c r="H46" i="16"/>
  <c r="N90" i="14"/>
  <c r="B46" i="16" s="1"/>
  <c r="A46" i="16" s="1"/>
  <c r="W90" i="14"/>
  <c r="D46" i="16" s="1"/>
  <c r="H90" i="14"/>
  <c r="I46" i="16" s="1"/>
  <c r="G90" i="14"/>
  <c r="G46" i="16" s="1"/>
  <c r="F90" i="14"/>
  <c r="E46" i="16" s="1"/>
  <c r="E90" i="14"/>
  <c r="H122" i="14"/>
  <c r="I78" i="16" s="1"/>
  <c r="H78" i="16"/>
  <c r="E78" i="16"/>
  <c r="W122" i="14"/>
  <c r="D78" i="16" s="1"/>
  <c r="N122" i="14"/>
  <c r="B78" i="16" s="1"/>
  <c r="A78" i="16" s="1"/>
  <c r="E122" i="14"/>
  <c r="D122" i="14"/>
  <c r="G122" i="14"/>
  <c r="G78" i="16" s="1"/>
  <c r="F122" i="14"/>
  <c r="C55" i="15"/>
  <c r="C74" i="14"/>
  <c r="AF74" i="14" s="1"/>
  <c r="C52" i="15"/>
  <c r="AF52" i="15" s="1"/>
  <c r="C71" i="14"/>
  <c r="N71" i="14" s="1"/>
  <c r="B27" i="16" s="1"/>
  <c r="A27" i="16" s="1"/>
  <c r="E58" i="14"/>
  <c r="F58" i="14"/>
  <c r="H58" i="14"/>
  <c r="G58" i="14"/>
  <c r="D58" i="14"/>
  <c r="H55" i="15"/>
  <c r="D55" i="15"/>
  <c r="F55" i="15"/>
  <c r="G55" i="15"/>
  <c r="E55" i="15"/>
  <c r="H50" i="15"/>
  <c r="G50" i="15"/>
  <c r="F50" i="15"/>
  <c r="E50" i="15"/>
  <c r="D50" i="15"/>
  <c r="H56" i="16"/>
  <c r="W100" i="14"/>
  <c r="D56" i="16" s="1"/>
  <c r="G100" i="14"/>
  <c r="G56" i="16" s="1"/>
  <c r="F100" i="14"/>
  <c r="E56" i="16" s="1"/>
  <c r="N100" i="14"/>
  <c r="B56" i="16" s="1"/>
  <c r="A56" i="16" s="1"/>
  <c r="D100" i="14"/>
  <c r="H100" i="14"/>
  <c r="I56" i="16" s="1"/>
  <c r="E100" i="14"/>
  <c r="E133" i="14"/>
  <c r="H89" i="16"/>
  <c r="N133" i="14"/>
  <c r="B89" i="16" s="1"/>
  <c r="A89" i="16" s="1"/>
  <c r="W133" i="14"/>
  <c r="D89" i="16" s="1"/>
  <c r="D133" i="14"/>
  <c r="G133" i="14"/>
  <c r="G89" i="16" s="1"/>
  <c r="F133" i="14"/>
  <c r="E89" i="16" s="1"/>
  <c r="H133" i="14"/>
  <c r="I89" i="16" s="1"/>
  <c r="E51" i="14"/>
  <c r="D51" i="14"/>
  <c r="H51" i="14"/>
  <c r="G51" i="14"/>
  <c r="F51" i="14"/>
  <c r="D108" i="14"/>
  <c r="H64" i="16"/>
  <c r="E108" i="14"/>
  <c r="N108" i="14"/>
  <c r="B64" i="16" s="1"/>
  <c r="A64" i="16" s="1"/>
  <c r="W108" i="14"/>
  <c r="D64" i="16" s="1"/>
  <c r="F108" i="14"/>
  <c r="E64" i="16" s="1"/>
  <c r="H108" i="14"/>
  <c r="I64" i="16" s="1"/>
  <c r="G108" i="14"/>
  <c r="G64" i="16" s="1"/>
  <c r="D95" i="14"/>
  <c r="W95" i="14"/>
  <c r="D51" i="16" s="1"/>
  <c r="N95" i="14"/>
  <c r="B51" i="16" s="1"/>
  <c r="A51" i="16" s="1"/>
  <c r="H51" i="16"/>
  <c r="G95" i="14"/>
  <c r="G51" i="16" s="1"/>
  <c r="F95" i="14"/>
  <c r="E51" i="16" s="1"/>
  <c r="E95" i="14"/>
  <c r="H95" i="14"/>
  <c r="I51" i="16" s="1"/>
  <c r="B28" i="15"/>
  <c r="B47" i="14"/>
  <c r="D39" i="15"/>
  <c r="H39" i="15"/>
  <c r="F39" i="15"/>
  <c r="E39" i="15"/>
  <c r="G39" i="15"/>
  <c r="B55" i="15"/>
  <c r="J55" i="15" s="1"/>
  <c r="B74" i="14"/>
  <c r="J74" i="14" s="1"/>
  <c r="B50" i="15"/>
  <c r="J50" i="15" s="1"/>
  <c r="B69" i="14"/>
  <c r="J69" i="14" s="1"/>
  <c r="H32" i="15"/>
  <c r="G32" i="15"/>
  <c r="D32" i="15"/>
  <c r="E32" i="15"/>
  <c r="F32" i="15"/>
  <c r="D59" i="14"/>
  <c r="E59" i="14"/>
  <c r="G59" i="14"/>
  <c r="H59" i="14"/>
  <c r="F59" i="14"/>
  <c r="C57" i="15"/>
  <c r="AF57" i="15" s="1"/>
  <c r="C76" i="14"/>
  <c r="W76" i="14" s="1"/>
  <c r="D32" i="16" s="1"/>
  <c r="B29" i="15"/>
  <c r="J29" i="15" s="1"/>
  <c r="B48" i="14"/>
  <c r="J48" i="14" s="1"/>
  <c r="B39" i="15"/>
  <c r="J39" i="15" s="1"/>
  <c r="B58" i="14"/>
  <c r="J58" i="14" s="1"/>
  <c r="D76" i="14"/>
  <c r="F76" i="14"/>
  <c r="H76" i="14"/>
  <c r="G76" i="14"/>
  <c r="E76" i="14"/>
  <c r="E71" i="14"/>
  <c r="W71" i="14"/>
  <c r="D27" i="16" s="1"/>
  <c r="G71" i="14"/>
  <c r="G27" i="16" s="1"/>
  <c r="H71" i="14"/>
  <c r="I27" i="16" s="1"/>
  <c r="D71" i="14"/>
  <c r="F71" i="14"/>
  <c r="B32" i="15"/>
  <c r="J32" i="15" s="1"/>
  <c r="B51" i="14"/>
  <c r="J51" i="14" s="1"/>
  <c r="E66" i="14"/>
  <c r="G66" i="14"/>
  <c r="D66" i="14"/>
  <c r="H66" i="14"/>
  <c r="F66" i="14"/>
  <c r="G40" i="15"/>
  <c r="E40" i="15"/>
  <c r="D40" i="15"/>
  <c r="F40" i="15"/>
  <c r="H40" i="15"/>
  <c r="E117" i="14"/>
  <c r="W117" i="14"/>
  <c r="D73" i="16" s="1"/>
  <c r="N117" i="14"/>
  <c r="B73" i="16" s="1"/>
  <c r="A73" i="16" s="1"/>
  <c r="H73" i="16"/>
  <c r="H117" i="14"/>
  <c r="I73" i="16" s="1"/>
  <c r="F117" i="14"/>
  <c r="E73" i="16" s="1"/>
  <c r="D117" i="14"/>
  <c r="G117" i="14"/>
  <c r="G73" i="16" s="1"/>
  <c r="D107" i="14"/>
  <c r="H63" i="16"/>
  <c r="I63" i="16"/>
  <c r="W107" i="14"/>
  <c r="D63" i="16" s="1"/>
  <c r="N107" i="14"/>
  <c r="B63" i="16" s="1"/>
  <c r="A63" i="16" s="1"/>
  <c r="H107" i="14"/>
  <c r="F107" i="14"/>
  <c r="E63" i="16" s="1"/>
  <c r="G107" i="14"/>
  <c r="G63" i="16" s="1"/>
  <c r="E107" i="14"/>
  <c r="C53" i="15"/>
  <c r="W53" i="15" s="1"/>
  <c r="C72" i="14"/>
  <c r="N72" i="14" s="1"/>
  <c r="B28" i="16" s="1"/>
  <c r="A28" i="16" s="1"/>
  <c r="C47" i="15"/>
  <c r="C66" i="14"/>
  <c r="AF66" i="14" s="1"/>
  <c r="D134" i="14"/>
  <c r="W134" i="14"/>
  <c r="D90" i="16" s="1"/>
  <c r="N134" i="14"/>
  <c r="B90" i="16" s="1"/>
  <c r="A90" i="16" s="1"/>
  <c r="H90" i="16"/>
  <c r="F134" i="14"/>
  <c r="E90" i="16" s="1"/>
  <c r="G134" i="14"/>
  <c r="G90" i="16" s="1"/>
  <c r="E134" i="14"/>
  <c r="H134" i="14"/>
  <c r="I90" i="16" s="1"/>
  <c r="H57" i="15"/>
  <c r="E57" i="15"/>
  <c r="D57" i="15"/>
  <c r="G57" i="15"/>
  <c r="F57" i="15"/>
  <c r="H52" i="15"/>
  <c r="E52" i="15"/>
  <c r="D52" i="15"/>
  <c r="G52" i="15"/>
  <c r="F52" i="15"/>
  <c r="D128" i="14"/>
  <c r="E84" i="16"/>
  <c r="H84" i="16"/>
  <c r="W128" i="14"/>
  <c r="D84" i="16" s="1"/>
  <c r="N128" i="14"/>
  <c r="B84" i="16" s="1"/>
  <c r="A84" i="16" s="1"/>
  <c r="E128" i="14"/>
  <c r="H128" i="14"/>
  <c r="I84" i="16" s="1"/>
  <c r="F128" i="14"/>
  <c r="G128" i="14"/>
  <c r="G84" i="16" s="1"/>
  <c r="D47" i="15"/>
  <c r="H47" i="15"/>
  <c r="F47" i="15"/>
  <c r="E47" i="15"/>
  <c r="G47" i="15"/>
  <c r="D63" i="14"/>
  <c r="H19" i="16"/>
  <c r="H63" i="14"/>
  <c r="I19" i="16" s="1"/>
  <c r="G63" i="14"/>
  <c r="G19" i="16" s="1"/>
  <c r="E63" i="14"/>
  <c r="F63" i="14"/>
  <c r="E19" i="16" s="1"/>
  <c r="D105" i="14"/>
  <c r="H61" i="16"/>
  <c r="W105" i="14"/>
  <c r="D61" i="16" s="1"/>
  <c r="N105" i="14"/>
  <c r="B61" i="16" s="1"/>
  <c r="A61" i="16" s="1"/>
  <c r="G105" i="14"/>
  <c r="G61" i="16" s="1"/>
  <c r="F105" i="14"/>
  <c r="E61" i="16" s="1"/>
  <c r="H105" i="14"/>
  <c r="I61" i="16" s="1"/>
  <c r="E105" i="14"/>
  <c r="B40" i="15"/>
  <c r="J40" i="15" s="1"/>
  <c r="B59" i="14"/>
  <c r="J59" i="14" s="1"/>
  <c r="C41" i="15"/>
  <c r="C60" i="14"/>
  <c r="H16" i="16" s="1"/>
  <c r="C36" i="15"/>
  <c r="N36" i="15" s="1"/>
  <c r="C55" i="14"/>
  <c r="W55" i="14" s="1"/>
  <c r="D11" i="16" s="1"/>
  <c r="D89" i="14"/>
  <c r="N89" i="14"/>
  <c r="B45" i="16" s="1"/>
  <c r="A45" i="16" s="1"/>
  <c r="H45" i="16"/>
  <c r="W89" i="14"/>
  <c r="D45" i="16" s="1"/>
  <c r="F89" i="14"/>
  <c r="E45" i="16" s="1"/>
  <c r="E89" i="14"/>
  <c r="H89" i="14"/>
  <c r="I45" i="16" s="1"/>
  <c r="G89" i="14"/>
  <c r="G45" i="16" s="1"/>
  <c r="H64" i="14"/>
  <c r="E64" i="14"/>
  <c r="F64" i="14"/>
  <c r="D64" i="14"/>
  <c r="G64" i="14"/>
  <c r="D120" i="14"/>
  <c r="W120" i="14"/>
  <c r="D76" i="16" s="1"/>
  <c r="H76" i="16"/>
  <c r="N120" i="14"/>
  <c r="B76" i="16" s="1"/>
  <c r="A76" i="16" s="1"/>
  <c r="E120" i="14"/>
  <c r="F120" i="14"/>
  <c r="E76" i="16" s="1"/>
  <c r="G120" i="14"/>
  <c r="G76" i="16" s="1"/>
  <c r="H120" i="14"/>
  <c r="I76" i="16" s="1"/>
  <c r="B57" i="15"/>
  <c r="J57" i="15" s="1"/>
  <c r="B76" i="14"/>
  <c r="J76" i="14" s="1"/>
  <c r="B52" i="15"/>
  <c r="J52" i="15" s="1"/>
  <c r="B71" i="14"/>
  <c r="J71" i="14" s="1"/>
  <c r="B47" i="15"/>
  <c r="J47" i="15" s="1"/>
  <c r="B66" i="14"/>
  <c r="J66" i="14" s="1"/>
  <c r="E44" i="15"/>
  <c r="H44" i="15"/>
  <c r="D44" i="15"/>
  <c r="G44" i="15"/>
  <c r="F44" i="15"/>
  <c r="D119" i="14"/>
  <c r="H75" i="16"/>
  <c r="W119" i="14"/>
  <c r="D75" i="16" s="1"/>
  <c r="N119" i="14"/>
  <c r="B75" i="16" s="1"/>
  <c r="A75" i="16" s="1"/>
  <c r="G119" i="14"/>
  <c r="G75" i="16" s="1"/>
  <c r="E119" i="14"/>
  <c r="F119" i="14"/>
  <c r="E75" i="16" s="1"/>
  <c r="H119" i="14"/>
  <c r="I75" i="16" s="1"/>
  <c r="F110" i="14"/>
  <c r="E66" i="16" s="1"/>
  <c r="H66" i="16"/>
  <c r="W110" i="14"/>
  <c r="D66" i="16" s="1"/>
  <c r="N110" i="14"/>
  <c r="B66" i="16" s="1"/>
  <c r="A66" i="16" s="1"/>
  <c r="H110" i="14"/>
  <c r="I66" i="16" s="1"/>
  <c r="E110" i="14"/>
  <c r="D110" i="14"/>
  <c r="G110" i="14"/>
  <c r="G66" i="16" s="1"/>
  <c r="D72" i="14"/>
  <c r="G72" i="14"/>
  <c r="E72" i="14"/>
  <c r="F72" i="14"/>
  <c r="H72" i="14"/>
  <c r="D114" i="14"/>
  <c r="W114" i="14"/>
  <c r="D70" i="16" s="1"/>
  <c r="N114" i="14"/>
  <c r="B70" i="16" s="1"/>
  <c r="A70" i="16" s="1"/>
  <c r="H70" i="16"/>
  <c r="G114" i="14"/>
  <c r="G70" i="16" s="1"/>
  <c r="F114" i="14"/>
  <c r="E70" i="16" s="1"/>
  <c r="H114" i="14"/>
  <c r="I70" i="16" s="1"/>
  <c r="E114" i="14"/>
  <c r="D94" i="14"/>
  <c r="W94" i="14"/>
  <c r="D50" i="16" s="1"/>
  <c r="H50" i="16"/>
  <c r="N94" i="14"/>
  <c r="B50" i="16" s="1"/>
  <c r="A50" i="16" s="1"/>
  <c r="G94" i="14"/>
  <c r="G50" i="16" s="1"/>
  <c r="F94" i="14"/>
  <c r="E50" i="16" s="1"/>
  <c r="E94" i="14"/>
  <c r="H94" i="14"/>
  <c r="I50" i="16" s="1"/>
  <c r="H45" i="15"/>
  <c r="D45" i="15"/>
  <c r="F45" i="15"/>
  <c r="E45" i="15"/>
  <c r="G45" i="15"/>
  <c r="D86" i="14"/>
  <c r="H42" i="16"/>
  <c r="W86" i="14"/>
  <c r="D42" i="16" s="1"/>
  <c r="N86" i="14"/>
  <c r="B42" i="16" s="1"/>
  <c r="A42" i="16" s="1"/>
  <c r="H86" i="14"/>
  <c r="I42" i="16" s="1"/>
  <c r="G86" i="14"/>
  <c r="G42" i="16" s="1"/>
  <c r="F86" i="14"/>
  <c r="E42" i="16" s="1"/>
  <c r="E86" i="14"/>
  <c r="F83" i="14"/>
  <c r="E39" i="16" s="1"/>
  <c r="H39" i="16"/>
  <c r="W83" i="14"/>
  <c r="D39" i="16" s="1"/>
  <c r="N83" i="14"/>
  <c r="B39" i="16" s="1"/>
  <c r="A39" i="16" s="1"/>
  <c r="D83" i="14"/>
  <c r="H83" i="14"/>
  <c r="I39" i="16" s="1"/>
  <c r="E83" i="14"/>
  <c r="G83" i="14"/>
  <c r="G39" i="16" s="1"/>
  <c r="B44" i="15"/>
  <c r="J44" i="15" s="1"/>
  <c r="B63" i="14"/>
  <c r="J63" i="14" s="1"/>
  <c r="C35" i="15"/>
  <c r="W35" i="15" s="1"/>
  <c r="C54" i="14"/>
  <c r="G10" i="16" s="1"/>
  <c r="C51" i="15"/>
  <c r="AF51" i="15" s="1"/>
  <c r="C70" i="14"/>
  <c r="N70" i="14" s="1"/>
  <c r="B26" i="16" s="1"/>
  <c r="A26" i="16" s="1"/>
  <c r="E53" i="15"/>
  <c r="H53" i="15"/>
  <c r="G53" i="15"/>
  <c r="D53" i="15"/>
  <c r="F53" i="15"/>
  <c r="G121" i="14"/>
  <c r="G77" i="16" s="1"/>
  <c r="W121" i="14"/>
  <c r="D77" i="16" s="1"/>
  <c r="H77" i="16"/>
  <c r="N121" i="14"/>
  <c r="B77" i="16" s="1"/>
  <c r="A77" i="16" s="1"/>
  <c r="E121" i="14"/>
  <c r="D121" i="14"/>
  <c r="F121" i="14"/>
  <c r="E77" i="16" s="1"/>
  <c r="H121" i="14"/>
  <c r="I77" i="16" s="1"/>
  <c r="B45" i="15"/>
  <c r="J45" i="15" s="1"/>
  <c r="B64" i="14"/>
  <c r="J64" i="14" s="1"/>
  <c r="E115" i="14"/>
  <c r="W115" i="14"/>
  <c r="D71" i="16" s="1"/>
  <c r="H71" i="16"/>
  <c r="N115" i="14"/>
  <c r="B71" i="16" s="1"/>
  <c r="A71" i="16" s="1"/>
  <c r="D115" i="14"/>
  <c r="H115" i="14"/>
  <c r="I71" i="16" s="1"/>
  <c r="F115" i="14"/>
  <c r="E71" i="16" s="1"/>
  <c r="G115" i="14"/>
  <c r="G71" i="16" s="1"/>
  <c r="D81" i="14"/>
  <c r="H37" i="16"/>
  <c r="N81" i="14"/>
  <c r="B37" i="16" s="1"/>
  <c r="A37" i="16" s="1"/>
  <c r="W81" i="14"/>
  <c r="D37" i="16" s="1"/>
  <c r="F81" i="14"/>
  <c r="E37" i="16" s="1"/>
  <c r="H81" i="14"/>
  <c r="I37" i="16" s="1"/>
  <c r="G81" i="14"/>
  <c r="G37" i="16" s="1"/>
  <c r="E81" i="14"/>
  <c r="H132" i="14"/>
  <c r="I88" i="16" s="1"/>
  <c r="H88" i="16"/>
  <c r="N132" i="14"/>
  <c r="B88" i="16" s="1"/>
  <c r="A88" i="16" s="1"/>
  <c r="W132" i="14"/>
  <c r="D88" i="16" s="1"/>
  <c r="D132" i="14"/>
  <c r="G132" i="14"/>
  <c r="G88" i="16" s="1"/>
  <c r="F132" i="14"/>
  <c r="E88" i="16" s="1"/>
  <c r="E132" i="14"/>
  <c r="D112" i="14"/>
  <c r="H68" i="16"/>
  <c r="N112" i="14"/>
  <c r="B68" i="16" s="1"/>
  <c r="A68" i="16" s="1"/>
  <c r="W112" i="14"/>
  <c r="D68" i="16" s="1"/>
  <c r="G112" i="14"/>
  <c r="G68" i="16" s="1"/>
  <c r="F112" i="14"/>
  <c r="E68" i="16" s="1"/>
  <c r="E112" i="14"/>
  <c r="H112" i="14"/>
  <c r="I68" i="16" s="1"/>
  <c r="D62" i="14"/>
  <c r="H62" i="14"/>
  <c r="G62" i="14"/>
  <c r="F62" i="14"/>
  <c r="E62" i="14"/>
  <c r="C33" i="15"/>
  <c r="C52" i="14"/>
  <c r="W52" i="14" s="1"/>
  <c r="D8" i="16" s="1"/>
  <c r="C38" i="15"/>
  <c r="C57" i="14"/>
  <c r="W57" i="14" s="1"/>
  <c r="D13" i="16" s="1"/>
  <c r="C54" i="15"/>
  <c r="C73" i="14"/>
  <c r="AF73" i="14" s="1"/>
  <c r="B53" i="15"/>
  <c r="J53" i="15" s="1"/>
  <c r="B72" i="14"/>
  <c r="J72" i="14" s="1"/>
  <c r="D52" i="14"/>
  <c r="E52" i="14"/>
  <c r="G52" i="14"/>
  <c r="F52" i="14"/>
  <c r="H52" i="14"/>
  <c r="G91" i="14"/>
  <c r="G47" i="16" s="1"/>
  <c r="H47" i="16"/>
  <c r="N91" i="14"/>
  <c r="B47" i="16" s="1"/>
  <c r="A47" i="16" s="1"/>
  <c r="W91" i="14"/>
  <c r="D47" i="16" s="1"/>
  <c r="E91" i="14"/>
  <c r="F91" i="14"/>
  <c r="E47" i="16" s="1"/>
  <c r="H91" i="14"/>
  <c r="I47" i="16" s="1"/>
  <c r="D91" i="14"/>
  <c r="E106" i="14"/>
  <c r="H62" i="16"/>
  <c r="W106" i="14"/>
  <c r="D62" i="16" s="1"/>
  <c r="N106" i="14"/>
  <c r="B62" i="16" s="1"/>
  <c r="A62" i="16" s="1"/>
  <c r="G106" i="14"/>
  <c r="G62" i="16" s="1"/>
  <c r="D106" i="14"/>
  <c r="H106" i="14"/>
  <c r="I62" i="16" s="1"/>
  <c r="F106" i="14"/>
  <c r="E62" i="16" s="1"/>
  <c r="D103" i="14"/>
  <c r="H59" i="16"/>
  <c r="N103" i="14"/>
  <c r="B59" i="16" s="1"/>
  <c r="A59" i="16" s="1"/>
  <c r="W103" i="14"/>
  <c r="D59" i="16" s="1"/>
  <c r="H103" i="14"/>
  <c r="I59" i="16" s="1"/>
  <c r="F103" i="14"/>
  <c r="E59" i="16" s="1"/>
  <c r="G103" i="14"/>
  <c r="G59" i="16" s="1"/>
  <c r="E103" i="14"/>
  <c r="D55" i="14"/>
  <c r="H55" i="14"/>
  <c r="G55" i="14"/>
  <c r="E55" i="14"/>
  <c r="F55" i="14"/>
  <c r="G43" i="15"/>
  <c r="F43" i="15"/>
  <c r="D43" i="15"/>
  <c r="E43" i="15"/>
  <c r="H43" i="15"/>
  <c r="C39" i="15"/>
  <c r="C58" i="14"/>
  <c r="E14" i="16" s="1"/>
  <c r="C48" i="15"/>
  <c r="W48" i="15" s="1"/>
  <c r="C67" i="14"/>
  <c r="AF67" i="14" s="1"/>
  <c r="C50" i="15"/>
  <c r="C69" i="14"/>
  <c r="G25" i="16" s="1"/>
  <c r="D33" i="15"/>
  <c r="E33" i="15"/>
  <c r="H33" i="15"/>
  <c r="G33" i="15"/>
  <c r="F33" i="15"/>
  <c r="D84" i="14"/>
  <c r="H40" i="16"/>
  <c r="W84" i="14"/>
  <c r="D40" i="16" s="1"/>
  <c r="N84" i="14"/>
  <c r="B40" i="16" s="1"/>
  <c r="A40" i="16" s="1"/>
  <c r="H84" i="14"/>
  <c r="I40" i="16" s="1"/>
  <c r="E84" i="14"/>
  <c r="G84" i="14"/>
  <c r="G40" i="16" s="1"/>
  <c r="F84" i="14"/>
  <c r="E40" i="16" s="1"/>
  <c r="G96" i="14"/>
  <c r="G52" i="16" s="1"/>
  <c r="N96" i="14"/>
  <c r="B52" i="16" s="1"/>
  <c r="A52" i="16" s="1"/>
  <c r="H52" i="16"/>
  <c r="E96" i="14"/>
  <c r="W96" i="14"/>
  <c r="D52" i="16" s="1"/>
  <c r="H96" i="14"/>
  <c r="I52" i="16" s="1"/>
  <c r="D96" i="14"/>
  <c r="F96" i="14"/>
  <c r="E52" i="16" s="1"/>
  <c r="D135" i="14"/>
  <c r="W135" i="14"/>
  <c r="D91" i="16" s="1"/>
  <c r="H91" i="16"/>
  <c r="N135" i="14"/>
  <c r="B91" i="16" s="1"/>
  <c r="A91" i="16" s="1"/>
  <c r="G135" i="14"/>
  <c r="G91" i="16" s="1"/>
  <c r="F135" i="14"/>
  <c r="E91" i="16" s="1"/>
  <c r="E135" i="14"/>
  <c r="H135" i="14"/>
  <c r="I91" i="16" s="1"/>
  <c r="G101" i="14"/>
  <c r="G57" i="16" s="1"/>
  <c r="H57" i="16"/>
  <c r="W101" i="14"/>
  <c r="D57" i="16" s="1"/>
  <c r="N101" i="14"/>
  <c r="B57" i="16" s="1"/>
  <c r="A57" i="16" s="1"/>
  <c r="F101" i="14"/>
  <c r="E57" i="16" s="1"/>
  <c r="E101" i="14"/>
  <c r="D101" i="14"/>
  <c r="H101" i="14"/>
  <c r="I57" i="16" s="1"/>
  <c r="D125" i="14"/>
  <c r="H81" i="16"/>
  <c r="W125" i="14"/>
  <c r="D81" i="16" s="1"/>
  <c r="N125" i="14"/>
  <c r="B81" i="16" s="1"/>
  <c r="A81" i="16" s="1"/>
  <c r="H125" i="14"/>
  <c r="I81" i="16" s="1"/>
  <c r="F125" i="14"/>
  <c r="E81" i="16" s="1"/>
  <c r="G125" i="14"/>
  <c r="G81" i="16" s="1"/>
  <c r="E125" i="14"/>
  <c r="F36" i="15"/>
  <c r="E36" i="15"/>
  <c r="G36" i="15"/>
  <c r="H36" i="15"/>
  <c r="D36" i="15"/>
  <c r="E31" i="15"/>
  <c r="D31" i="15"/>
  <c r="H31" i="15"/>
  <c r="F31" i="15"/>
  <c r="G31" i="15"/>
  <c r="B43" i="15"/>
  <c r="J43" i="15" s="1"/>
  <c r="B62" i="14"/>
  <c r="J62" i="14" s="1"/>
  <c r="B33" i="15"/>
  <c r="J33" i="15" s="1"/>
  <c r="B52" i="14"/>
  <c r="J52" i="14" s="1"/>
  <c r="D109" i="14"/>
  <c r="H65" i="16"/>
  <c r="N109" i="14"/>
  <c r="B65" i="16" s="1"/>
  <c r="A65" i="16" s="1"/>
  <c r="W109" i="14"/>
  <c r="D65" i="16" s="1"/>
  <c r="G109" i="14"/>
  <c r="G65" i="16" s="1"/>
  <c r="E109" i="14"/>
  <c r="F109" i="14"/>
  <c r="E65" i="16" s="1"/>
  <c r="H109" i="14"/>
  <c r="I65" i="16" s="1"/>
  <c r="D123" i="14"/>
  <c r="H79" i="16"/>
  <c r="N123" i="14"/>
  <c r="B79" i="16" s="1"/>
  <c r="A79" i="16" s="1"/>
  <c r="W123" i="14"/>
  <c r="D79" i="16" s="1"/>
  <c r="F123" i="14"/>
  <c r="E79" i="16" s="1"/>
  <c r="E123" i="14"/>
  <c r="H123" i="14"/>
  <c r="I79" i="16" s="1"/>
  <c r="G123" i="14"/>
  <c r="G79" i="16" s="1"/>
  <c r="E61" i="14"/>
  <c r="H17" i="16"/>
  <c r="D61" i="14"/>
  <c r="H61" i="14"/>
  <c r="I17" i="16" s="1"/>
  <c r="G61" i="14"/>
  <c r="G17" i="16" s="1"/>
  <c r="F61" i="14"/>
  <c r="E17" i="16" s="1"/>
  <c r="D57" i="14"/>
  <c r="E57" i="14"/>
  <c r="G57" i="14"/>
  <c r="F57" i="14"/>
  <c r="H57" i="14"/>
  <c r="B36" i="15"/>
  <c r="J36" i="15" s="1"/>
  <c r="B55" i="14"/>
  <c r="J55" i="14" s="1"/>
  <c r="D50" i="14"/>
  <c r="H50" i="14"/>
  <c r="G50" i="14"/>
  <c r="E50" i="14"/>
  <c r="F50" i="14"/>
  <c r="C29" i="15"/>
  <c r="C48" i="14"/>
  <c r="J4" i="16" s="1"/>
  <c r="C45" i="15"/>
  <c r="C64" i="14"/>
  <c r="H20" i="16" s="1"/>
  <c r="C40" i="15"/>
  <c r="AF40" i="15" s="1"/>
  <c r="C59" i="14"/>
  <c r="H15" i="16" s="1"/>
  <c r="D87" i="14"/>
  <c r="H43" i="16"/>
  <c r="N87" i="14"/>
  <c r="B43" i="16" s="1"/>
  <c r="A43" i="16" s="1"/>
  <c r="W87" i="14"/>
  <c r="D43" i="16" s="1"/>
  <c r="H87" i="14"/>
  <c r="I43" i="16" s="1"/>
  <c r="G87" i="14"/>
  <c r="G43" i="16" s="1"/>
  <c r="F87" i="14"/>
  <c r="E43" i="16" s="1"/>
  <c r="E87" i="14"/>
  <c r="D129" i="14"/>
  <c r="H85" i="16"/>
  <c r="W129" i="14"/>
  <c r="D85" i="16" s="1"/>
  <c r="N129" i="14"/>
  <c r="B85" i="16" s="1"/>
  <c r="A85" i="16" s="1"/>
  <c r="F129" i="14"/>
  <c r="E85" i="16" s="1"/>
  <c r="G129" i="14"/>
  <c r="G85" i="16" s="1"/>
  <c r="E129" i="14"/>
  <c r="H129" i="14"/>
  <c r="I85" i="16" s="1"/>
  <c r="D42" i="15"/>
  <c r="H42" i="15"/>
  <c r="G42" i="15"/>
  <c r="F42" i="15"/>
  <c r="E42" i="15"/>
  <c r="H38" i="15"/>
  <c r="D38" i="15"/>
  <c r="E38" i="15"/>
  <c r="F38" i="15"/>
  <c r="G38" i="15"/>
  <c r="D53" i="14"/>
  <c r="E53" i="14"/>
  <c r="H53" i="14"/>
  <c r="G53" i="14"/>
  <c r="F53" i="14"/>
  <c r="D130" i="14"/>
  <c r="H86" i="16"/>
  <c r="W130" i="14"/>
  <c r="D86" i="16" s="1"/>
  <c r="N130" i="14"/>
  <c r="B86" i="16" s="1"/>
  <c r="A86" i="16" s="1"/>
  <c r="H130" i="14"/>
  <c r="I86" i="16" s="1"/>
  <c r="G130" i="14"/>
  <c r="G86" i="16" s="1"/>
  <c r="F130" i="14"/>
  <c r="E86" i="16" s="1"/>
  <c r="E130" i="14"/>
  <c r="B31" i="15"/>
  <c r="J31" i="15" s="1"/>
  <c r="B50" i="14"/>
  <c r="J50" i="14" s="1"/>
  <c r="H127" i="14"/>
  <c r="I83" i="16" s="1"/>
  <c r="H83" i="16"/>
  <c r="W127" i="14"/>
  <c r="D83" i="16" s="1"/>
  <c r="E127" i="14"/>
  <c r="N127" i="14"/>
  <c r="B83" i="16" s="1"/>
  <c r="A83" i="16" s="1"/>
  <c r="F127" i="14"/>
  <c r="E83" i="16" s="1"/>
  <c r="G127" i="14"/>
  <c r="G83" i="16" s="1"/>
  <c r="D127" i="14"/>
  <c r="W189" i="3"/>
  <c r="AA62" i="1"/>
  <c r="AF44" i="15" l="1"/>
  <c r="N44" i="15"/>
  <c r="N52" i="15"/>
  <c r="AF76" i="14"/>
  <c r="F32" i="16" s="1"/>
  <c r="W52" i="15"/>
  <c r="AF72" i="14"/>
  <c r="F28" i="16" s="1"/>
  <c r="AF71" i="14"/>
  <c r="F27" i="16" s="1"/>
  <c r="AF70" i="14"/>
  <c r="F26" i="16" s="1"/>
  <c r="AF69" i="14"/>
  <c r="F25" i="16" s="1"/>
  <c r="N63" i="14"/>
  <c r="B19" i="16" s="1"/>
  <c r="A19" i="16" s="1"/>
  <c r="K19" i="16" s="1"/>
  <c r="AF63" i="14"/>
  <c r="F19" i="16" s="1"/>
  <c r="W43" i="15"/>
  <c r="N61" i="14"/>
  <c r="B17" i="16" s="1"/>
  <c r="A17" i="16" s="1"/>
  <c r="L17" i="16" s="1"/>
  <c r="AF54" i="14"/>
  <c r="F10" i="16" s="1"/>
  <c r="AF64" i="14"/>
  <c r="F20" i="16" s="1"/>
  <c r="AF59" i="14"/>
  <c r="F15" i="16" s="1"/>
  <c r="AF53" i="14"/>
  <c r="F9" i="16" s="1"/>
  <c r="AF52" i="14"/>
  <c r="F8" i="16" s="1"/>
  <c r="AF61" i="14"/>
  <c r="F17" i="16" s="1"/>
  <c r="AF58" i="14"/>
  <c r="F14" i="16" s="1"/>
  <c r="AF57" i="14"/>
  <c r="F13" i="16" s="1"/>
  <c r="AF49" i="14"/>
  <c r="F5" i="16" s="1"/>
  <c r="AF51" i="14"/>
  <c r="F7" i="16" s="1"/>
  <c r="E284" i="3"/>
  <c r="K284" i="3" s="1"/>
  <c r="AF62" i="14"/>
  <c r="F18" i="16" s="1"/>
  <c r="AF60" i="14"/>
  <c r="F16" i="16" s="1"/>
  <c r="AF55" i="14"/>
  <c r="F11" i="16" s="1"/>
  <c r="AF50" i="14"/>
  <c r="F6" i="16" s="1"/>
  <c r="F23" i="16"/>
  <c r="X190" i="3"/>
  <c r="AF48" i="14"/>
  <c r="F4" i="16" s="1"/>
  <c r="F24" i="16"/>
  <c r="F22" i="16"/>
  <c r="L283" i="3"/>
  <c r="K283" i="3"/>
  <c r="L327" i="8" s="1"/>
  <c r="Z192" i="3"/>
  <c r="X192" i="3" s="1"/>
  <c r="E285" i="3"/>
  <c r="L285" i="3" s="1"/>
  <c r="L50" i="16"/>
  <c r="K50" i="16"/>
  <c r="K64" i="16"/>
  <c r="L64" i="16"/>
  <c r="L89" i="16"/>
  <c r="K89" i="16"/>
  <c r="L49" i="16"/>
  <c r="K49" i="16"/>
  <c r="L60" i="16"/>
  <c r="K60" i="16"/>
  <c r="L37" i="16"/>
  <c r="K37" i="16"/>
  <c r="K35" i="16"/>
  <c r="L35" i="16"/>
  <c r="L41" i="16"/>
  <c r="K41" i="16"/>
  <c r="L58" i="16"/>
  <c r="K58" i="16"/>
  <c r="L87" i="16"/>
  <c r="K87" i="16"/>
  <c r="L82" i="16"/>
  <c r="K82" i="16"/>
  <c r="L79" i="16"/>
  <c r="K79" i="16"/>
  <c r="K59" i="16"/>
  <c r="L59" i="16"/>
  <c r="L53" i="16"/>
  <c r="K53" i="16"/>
  <c r="L42" i="16"/>
  <c r="K42" i="16"/>
  <c r="L40" i="16"/>
  <c r="K40" i="16"/>
  <c r="K77" i="16"/>
  <c r="L77" i="16"/>
  <c r="L85" i="16"/>
  <c r="K85" i="16"/>
  <c r="L61" i="16"/>
  <c r="K61" i="16"/>
  <c r="L78" i="16"/>
  <c r="K78" i="16"/>
  <c r="L36" i="16"/>
  <c r="K36" i="16"/>
  <c r="K80" i="16"/>
  <c r="L80" i="16"/>
  <c r="L38" i="16"/>
  <c r="K38" i="16"/>
  <c r="L90" i="16"/>
  <c r="K90" i="16"/>
  <c r="L57" i="16"/>
  <c r="K57" i="16"/>
  <c r="L66" i="16"/>
  <c r="K66" i="16"/>
  <c r="L44" i="16"/>
  <c r="K44" i="16"/>
  <c r="L6" i="16"/>
  <c r="K6" i="16"/>
  <c r="L55" i="16"/>
  <c r="K55" i="16"/>
  <c r="L33" i="16"/>
  <c r="K33" i="16"/>
  <c r="L65" i="16"/>
  <c r="K65" i="16"/>
  <c r="L76" i="16"/>
  <c r="K76" i="16"/>
  <c r="K67" i="16"/>
  <c r="L67" i="16"/>
  <c r="K71" i="16"/>
  <c r="L71" i="16"/>
  <c r="L45" i="16"/>
  <c r="K45" i="16"/>
  <c r="K75" i="16"/>
  <c r="L75" i="16"/>
  <c r="L88" i="16"/>
  <c r="K88" i="16"/>
  <c r="L62" i="16"/>
  <c r="K62" i="16"/>
  <c r="L39" i="16"/>
  <c r="K39" i="16"/>
  <c r="L28" i="16"/>
  <c r="K28" i="16"/>
  <c r="K51" i="16"/>
  <c r="L51" i="16"/>
  <c r="L72" i="16"/>
  <c r="K72" i="16"/>
  <c r="L91" i="16"/>
  <c r="K91" i="16"/>
  <c r="K63" i="16"/>
  <c r="L63" i="16"/>
  <c r="L47" i="16"/>
  <c r="K47" i="16"/>
  <c r="L86" i="16"/>
  <c r="K86" i="16"/>
  <c r="K43" i="16"/>
  <c r="L43" i="16"/>
  <c r="L70" i="16"/>
  <c r="K70" i="16"/>
  <c r="K48" i="16"/>
  <c r="L48" i="16"/>
  <c r="K52" i="16"/>
  <c r="L52" i="16"/>
  <c r="K84" i="16"/>
  <c r="L84" i="16"/>
  <c r="L73" i="16"/>
  <c r="K73" i="16"/>
  <c r="K27" i="16"/>
  <c r="L27" i="16"/>
  <c r="L56" i="16"/>
  <c r="K56" i="16"/>
  <c r="K83" i="16"/>
  <c r="L83" i="16"/>
  <c r="K69" i="16"/>
  <c r="L69" i="16"/>
  <c r="L34" i="16"/>
  <c r="K34" i="16"/>
  <c r="L54" i="16"/>
  <c r="K54" i="16"/>
  <c r="K92" i="16"/>
  <c r="L92" i="16"/>
  <c r="K68" i="16"/>
  <c r="L68" i="16"/>
  <c r="L46" i="16"/>
  <c r="K46" i="16"/>
  <c r="L81" i="16"/>
  <c r="K81" i="16"/>
  <c r="L26" i="16"/>
  <c r="K26" i="16"/>
  <c r="L74" i="16"/>
  <c r="K74" i="16"/>
  <c r="J9" i="16"/>
  <c r="J8" i="16"/>
  <c r="J5" i="16"/>
  <c r="J3" i="16"/>
  <c r="J6" i="16"/>
  <c r="X191" i="3"/>
  <c r="G4" i="16"/>
  <c r="AF43" i="15"/>
  <c r="G11" i="16"/>
  <c r="I11" i="16"/>
  <c r="H11" i="16"/>
  <c r="N55" i="14"/>
  <c r="B11" i="16" s="1"/>
  <c r="A11" i="16" s="1"/>
  <c r="E11" i="16"/>
  <c r="E29" i="16"/>
  <c r="G30" i="16"/>
  <c r="AF53" i="15"/>
  <c r="N53" i="15"/>
  <c r="N53" i="14"/>
  <c r="B9" i="16" s="1"/>
  <c r="A9" i="16" s="1"/>
  <c r="AF36" i="15"/>
  <c r="W36" i="15"/>
  <c r="H9" i="16"/>
  <c r="W31" i="15"/>
  <c r="N31" i="15"/>
  <c r="E18" i="16"/>
  <c r="G18" i="16"/>
  <c r="I18" i="16"/>
  <c r="E9" i="16"/>
  <c r="AF31" i="15"/>
  <c r="N62" i="14"/>
  <c r="B18" i="16" s="1"/>
  <c r="A18" i="16" s="1"/>
  <c r="G9" i="16"/>
  <c r="W62" i="14"/>
  <c r="D18" i="16" s="1"/>
  <c r="I9" i="16"/>
  <c r="E6" i="16"/>
  <c r="G6" i="16"/>
  <c r="W50" i="14"/>
  <c r="D6" i="16" s="1"/>
  <c r="H6" i="16"/>
  <c r="I6" i="16"/>
  <c r="N46" i="15"/>
  <c r="H27" i="16"/>
  <c r="AF46" i="15"/>
  <c r="W46" i="15"/>
  <c r="AF42" i="15"/>
  <c r="W42" i="15"/>
  <c r="G7" i="16"/>
  <c r="N32" i="15"/>
  <c r="AF32" i="15"/>
  <c r="W32" i="15"/>
  <c r="N57" i="14"/>
  <c r="B13" i="16" s="1"/>
  <c r="A13" i="16" s="1"/>
  <c r="AF38" i="15"/>
  <c r="W33" i="15"/>
  <c r="AF33" i="15"/>
  <c r="D92" i="1"/>
  <c r="D94" i="1"/>
  <c r="E13" i="16"/>
  <c r="I13" i="16"/>
  <c r="I7" i="16"/>
  <c r="E7" i="16"/>
  <c r="G13" i="16"/>
  <c r="H13" i="16"/>
  <c r="H7" i="16"/>
  <c r="N51" i="14"/>
  <c r="B7" i="16" s="1"/>
  <c r="A7" i="16" s="1"/>
  <c r="W51" i="14"/>
  <c r="D7" i="16" s="1"/>
  <c r="W49" i="15"/>
  <c r="AF49" i="15"/>
  <c r="E32" i="16"/>
  <c r="H32" i="16"/>
  <c r="N49" i="14"/>
  <c r="B5" i="16" s="1"/>
  <c r="A5" i="16" s="1"/>
  <c r="N76" i="14"/>
  <c r="B32" i="16" s="1"/>
  <c r="A32" i="16" s="1"/>
  <c r="N66" i="14"/>
  <c r="B22" i="16" s="1"/>
  <c r="A22" i="16" s="1"/>
  <c r="N33" i="15"/>
  <c r="AF30" i="15"/>
  <c r="G32" i="16"/>
  <c r="W49" i="14"/>
  <c r="D5" i="16" s="1"/>
  <c r="W47" i="15"/>
  <c r="I32" i="16"/>
  <c r="G5" i="16"/>
  <c r="E5" i="16"/>
  <c r="I5" i="16"/>
  <c r="G8" i="16"/>
  <c r="AF47" i="15"/>
  <c r="G28" i="16"/>
  <c r="N47" i="15"/>
  <c r="W30" i="15"/>
  <c r="W57" i="15"/>
  <c r="N57" i="15"/>
  <c r="W38" i="15"/>
  <c r="G31" i="16"/>
  <c r="W55" i="15"/>
  <c r="G21" i="16"/>
  <c r="N65" i="14"/>
  <c r="B21" i="16" s="1"/>
  <c r="A21" i="16" s="1"/>
  <c r="W65" i="14"/>
  <c r="D21" i="16" s="1"/>
  <c r="I28" i="16"/>
  <c r="N49" i="15"/>
  <c r="I21" i="16"/>
  <c r="H28" i="16"/>
  <c r="H21" i="16"/>
  <c r="E21" i="16"/>
  <c r="W72" i="14"/>
  <c r="D28" i="16" s="1"/>
  <c r="G12" i="16"/>
  <c r="N59" i="14"/>
  <c r="B15" i="16" s="1"/>
  <c r="A15" i="16" s="1"/>
  <c r="H14" i="16"/>
  <c r="E25" i="16"/>
  <c r="F29" i="16"/>
  <c r="N29" i="15"/>
  <c r="I26" i="16"/>
  <c r="N48" i="14"/>
  <c r="B4" i="16" s="1"/>
  <c r="A4" i="16" s="1"/>
  <c r="AF41" i="15"/>
  <c r="N45" i="15"/>
  <c r="I29" i="16"/>
  <c r="H26" i="16"/>
  <c r="W58" i="14"/>
  <c r="D14" i="16" s="1"/>
  <c r="N69" i="14"/>
  <c r="B25" i="16" s="1"/>
  <c r="A25" i="16" s="1"/>
  <c r="AF56" i="15"/>
  <c r="H29" i="16"/>
  <c r="N41" i="15"/>
  <c r="W59" i="14"/>
  <c r="D15" i="16" s="1"/>
  <c r="AF55" i="15"/>
  <c r="G14" i="16"/>
  <c r="I25" i="16"/>
  <c r="N56" i="15"/>
  <c r="W73" i="14"/>
  <c r="D29" i="16" s="1"/>
  <c r="E4" i="16"/>
  <c r="W45" i="15"/>
  <c r="G15" i="16"/>
  <c r="N55" i="15"/>
  <c r="AF35" i="15"/>
  <c r="G29" i="16"/>
  <c r="H4" i="16"/>
  <c r="E15" i="16"/>
  <c r="W39" i="15"/>
  <c r="W29" i="15"/>
  <c r="I4" i="16"/>
  <c r="AF45" i="15"/>
  <c r="N64" i="14"/>
  <c r="B20" i="16" s="1"/>
  <c r="A20" i="16" s="1"/>
  <c r="I15" i="16"/>
  <c r="W51" i="15"/>
  <c r="W48" i="14"/>
  <c r="D4" i="16" s="1"/>
  <c r="W41" i="15"/>
  <c r="N67" i="14"/>
  <c r="B23" i="16" s="1"/>
  <c r="A23" i="16" s="1"/>
  <c r="E20" i="16"/>
  <c r="W67" i="14"/>
  <c r="D23" i="16" s="1"/>
  <c r="W64" i="14"/>
  <c r="D20" i="16" s="1"/>
  <c r="AF39" i="15"/>
  <c r="E12" i="16"/>
  <c r="N35" i="15"/>
  <c r="I23" i="16"/>
  <c r="G20" i="16"/>
  <c r="N39" i="15"/>
  <c r="N74" i="14"/>
  <c r="B30" i="16" s="1"/>
  <c r="A30" i="16" s="1"/>
  <c r="AF37" i="15"/>
  <c r="W56" i="14"/>
  <c r="D12" i="16" s="1"/>
  <c r="E10" i="16"/>
  <c r="N48" i="15"/>
  <c r="G23" i="16"/>
  <c r="N47" i="14"/>
  <c r="B3" i="16" s="1"/>
  <c r="N38" i="15"/>
  <c r="I20" i="16"/>
  <c r="E27" i="16"/>
  <c r="E30" i="16"/>
  <c r="I12" i="16"/>
  <c r="AF54" i="15"/>
  <c r="N54" i="14"/>
  <c r="B10" i="16" s="1"/>
  <c r="A10" i="16" s="1"/>
  <c r="H23" i="16"/>
  <c r="AF50" i="15"/>
  <c r="W54" i="15"/>
  <c r="E31" i="16"/>
  <c r="AF48" i="15"/>
  <c r="E23" i="16"/>
  <c r="AF34" i="15"/>
  <c r="N60" i="14"/>
  <c r="B16" i="16" s="1"/>
  <c r="A16" i="16" s="1"/>
  <c r="W47" i="14"/>
  <c r="D3" i="16" s="1"/>
  <c r="I30" i="16"/>
  <c r="H12" i="16"/>
  <c r="I24" i="16"/>
  <c r="N54" i="15"/>
  <c r="I10" i="16"/>
  <c r="W34" i="15"/>
  <c r="E3" i="16"/>
  <c r="E8" i="16"/>
  <c r="W40" i="15"/>
  <c r="W66" i="14"/>
  <c r="D22" i="16" s="1"/>
  <c r="N50" i="15"/>
  <c r="F30" i="16"/>
  <c r="F12" i="16"/>
  <c r="N68" i="14"/>
  <c r="B24" i="16" s="1"/>
  <c r="A24" i="16" s="1"/>
  <c r="I31" i="16"/>
  <c r="N51" i="15"/>
  <c r="N34" i="15"/>
  <c r="W60" i="14"/>
  <c r="D16" i="16" s="1"/>
  <c r="AF47" i="14"/>
  <c r="F3" i="16" s="1"/>
  <c r="N40" i="15"/>
  <c r="G22" i="16"/>
  <c r="H30" i="16"/>
  <c r="N56" i="14"/>
  <c r="B12" i="16" s="1"/>
  <c r="A12" i="16" s="1"/>
  <c r="H31" i="16"/>
  <c r="H10" i="16"/>
  <c r="G16" i="16"/>
  <c r="I3" i="16"/>
  <c r="I22" i="16"/>
  <c r="W74" i="14"/>
  <c r="D30" i="16" s="1"/>
  <c r="E24" i="16"/>
  <c r="F31" i="16"/>
  <c r="W54" i="14"/>
  <c r="D10" i="16" s="1"/>
  <c r="G26" i="16"/>
  <c r="E16" i="16"/>
  <c r="G3" i="16"/>
  <c r="I8" i="16"/>
  <c r="H22" i="16"/>
  <c r="I14" i="16"/>
  <c r="H25" i="16"/>
  <c r="N37" i="15"/>
  <c r="W68" i="14"/>
  <c r="D24" i="16" s="1"/>
  <c r="N75" i="14"/>
  <c r="B31" i="16" s="1"/>
  <c r="A31" i="16" s="1"/>
  <c r="W70" i="14"/>
  <c r="D26" i="16" s="1"/>
  <c r="I16" i="16"/>
  <c r="H8" i="16"/>
  <c r="E28" i="16"/>
  <c r="E22" i="16"/>
  <c r="N58" i="14"/>
  <c r="B14" i="16" s="1"/>
  <c r="A14" i="16" s="1"/>
  <c r="W37" i="15"/>
  <c r="H24" i="16"/>
  <c r="W75" i="14"/>
  <c r="D31" i="16" s="1"/>
  <c r="N73" i="14"/>
  <c r="B29" i="16" s="1"/>
  <c r="A29" i="16" s="1"/>
  <c r="AF29" i="15"/>
  <c r="E26" i="16"/>
  <c r="N52" i="14"/>
  <c r="B8" i="16" s="1"/>
  <c r="A8" i="16" s="1"/>
  <c r="W50" i="15"/>
  <c r="W69" i="14"/>
  <c r="D25" i="16" s="1"/>
  <c r="G24" i="16"/>
  <c r="L19" i="16" l="1"/>
  <c r="L284" i="3"/>
  <c r="K17" i="16"/>
  <c r="K285" i="3"/>
  <c r="Z193" i="3"/>
  <c r="Z194" i="3" s="1"/>
  <c r="X194" i="3" s="1"/>
  <c r="L9" i="16"/>
  <c r="K9" i="16"/>
  <c r="K11" i="16"/>
  <c r="L11" i="16"/>
  <c r="L30" i="16"/>
  <c r="K30" i="16"/>
  <c r="K8" i="16"/>
  <c r="L8" i="16"/>
  <c r="K12" i="16"/>
  <c r="L12" i="16"/>
  <c r="L31" i="16"/>
  <c r="K31" i="16"/>
  <c r="L29" i="16"/>
  <c r="K29" i="16"/>
  <c r="K7" i="16"/>
  <c r="L7" i="16"/>
  <c r="L4" i="16"/>
  <c r="K4" i="16"/>
  <c r="L25" i="16"/>
  <c r="K25" i="16"/>
  <c r="K23" i="16"/>
  <c r="L23" i="16"/>
  <c r="L15" i="16"/>
  <c r="K15" i="16"/>
  <c r="L14" i="16"/>
  <c r="K14" i="16"/>
  <c r="K20" i="16"/>
  <c r="L20" i="16"/>
  <c r="K13" i="16"/>
  <c r="L13" i="16"/>
  <c r="L22" i="16"/>
  <c r="K22" i="16"/>
  <c r="L32" i="16"/>
  <c r="K32" i="16"/>
  <c r="L16" i="16"/>
  <c r="K16" i="16"/>
  <c r="L18" i="16"/>
  <c r="K18" i="16"/>
  <c r="L10" i="16"/>
  <c r="K10" i="16"/>
  <c r="K24" i="16"/>
  <c r="L24" i="16"/>
  <c r="K5" i="16"/>
  <c r="L5" i="16"/>
  <c r="L21" i="16"/>
  <c r="K21" i="16"/>
  <c r="E286" i="3"/>
  <c r="X193" i="3" l="1"/>
  <c r="L286" i="3"/>
  <c r="F374" i="3" s="1"/>
  <c r="K286" i="3"/>
  <c r="Z195" i="3"/>
  <c r="E288" i="3"/>
  <c r="E287" i="3"/>
  <c r="Z196" i="3" l="1"/>
  <c r="X195" i="3"/>
  <c r="K288" i="3"/>
  <c r="L288" i="3"/>
  <c r="K287" i="3"/>
  <c r="L287" i="3"/>
  <c r="E289" i="3"/>
  <c r="X196" i="3" l="1"/>
  <c r="Z197" i="3"/>
  <c r="X197" i="3" s="1"/>
  <c r="L289" i="3"/>
  <c r="F375" i="3" s="1"/>
  <c r="K289" i="3"/>
  <c r="E290" i="3"/>
  <c r="Z198" i="3" l="1"/>
  <c r="X198" i="3" s="1"/>
  <c r="E291" i="3"/>
  <c r="L290" i="3"/>
  <c r="K290" i="3"/>
  <c r="E292" i="3" l="1"/>
  <c r="Z199" i="3"/>
  <c r="L291" i="3"/>
  <c r="K291" i="3"/>
  <c r="E293" i="3" l="1"/>
  <c r="Y293" i="3" s="1"/>
  <c r="X199" i="3"/>
  <c r="L292" i="3"/>
  <c r="F376" i="3" s="1"/>
  <c r="K292" i="3"/>
  <c r="Z200" i="3"/>
  <c r="L293" i="3" l="1"/>
  <c r="K293" i="3"/>
  <c r="E294" i="3"/>
  <c r="X200" i="3"/>
  <c r="Z201" i="3"/>
  <c r="L294" i="3" l="1"/>
  <c r="K294" i="3"/>
  <c r="E295" i="3"/>
  <c r="Y295" i="3" s="1"/>
  <c r="X201" i="3"/>
  <c r="Z202" i="3"/>
  <c r="X202" i="3" s="1"/>
  <c r="K295" i="3" l="1"/>
  <c r="L295" i="3"/>
  <c r="F377" i="3" s="1"/>
  <c r="E296" i="3"/>
  <c r="Z203" i="3"/>
  <c r="Z204" i="3" l="1"/>
  <c r="X204" i="3" s="1"/>
  <c r="X203" i="3"/>
  <c r="E297" i="3"/>
  <c r="Y296" i="3"/>
  <c r="L296" i="3"/>
  <c r="K296" i="3"/>
  <c r="E298" i="3" l="1"/>
  <c r="Z205" i="3"/>
  <c r="K297" i="3"/>
  <c r="L297" i="3"/>
  <c r="L298" i="3" l="1"/>
  <c r="F378" i="3" s="1"/>
  <c r="Y298" i="3"/>
  <c r="K298" i="3"/>
  <c r="X205" i="3"/>
  <c r="E299" i="3"/>
  <c r="Y299" i="3" s="1"/>
  <c r="Z206" i="3"/>
  <c r="L299" i="3" l="1"/>
  <c r="K299" i="3"/>
  <c r="E300" i="3"/>
  <c r="X206" i="3"/>
  <c r="Z207" i="3"/>
  <c r="L300" i="3" l="1"/>
  <c r="Y300" i="3"/>
  <c r="K300" i="3"/>
  <c r="E301" i="3"/>
  <c r="L301" i="3" s="1"/>
  <c r="X207" i="3"/>
  <c r="Z208" i="3"/>
  <c r="X208" i="3" s="1"/>
  <c r="Y301" i="3"/>
  <c r="K301" i="3" l="1"/>
  <c r="F379" i="3"/>
  <c r="E302" i="3"/>
  <c r="Z209" i="3"/>
  <c r="Z210" i="3" l="1"/>
  <c r="X209" i="3"/>
  <c r="E303" i="3"/>
  <c r="Y302" i="3"/>
  <c r="K302" i="3"/>
  <c r="L302" i="3"/>
  <c r="E304" i="3" l="1"/>
  <c r="X210" i="3"/>
  <c r="Z211" i="3"/>
  <c r="Y303" i="3"/>
  <c r="K303" i="3"/>
  <c r="L303" i="3"/>
  <c r="K304" i="3" l="1"/>
  <c r="Y304" i="3"/>
  <c r="L304" i="3"/>
  <c r="F380" i="3" s="1"/>
  <c r="Z212" i="3"/>
  <c r="X211" i="3"/>
  <c r="E305" i="3"/>
  <c r="K305" i="3" s="1"/>
  <c r="L305" i="3" l="1"/>
  <c r="E306" i="3"/>
  <c r="X212" i="3"/>
  <c r="Z213" i="3"/>
  <c r="K306" i="3" l="1"/>
  <c r="Y306" i="3"/>
  <c r="Z214" i="3"/>
  <c r="X213" i="3"/>
  <c r="L306" i="3"/>
  <c r="E307" i="3"/>
  <c r="K307" i="3" l="1"/>
  <c r="Y307" i="3"/>
  <c r="Z215" i="3"/>
  <c r="X214" i="3"/>
  <c r="E308" i="3"/>
  <c r="L307" i="3"/>
  <c r="F381" i="3" s="1"/>
  <c r="K308" i="3" l="1"/>
  <c r="Y308" i="3"/>
  <c r="L308" i="3"/>
  <c r="E309" i="3"/>
  <c r="X215" i="3"/>
  <c r="Z216" i="3"/>
  <c r="X216" i="3" s="1"/>
  <c r="K309" i="3" l="1"/>
  <c r="Y309" i="3"/>
  <c r="L309" i="3"/>
  <c r="E310" i="3"/>
  <c r="Z217" i="3"/>
  <c r="X217" i="3" s="1"/>
  <c r="E311" i="3" l="1"/>
  <c r="Y311" i="3" s="1"/>
  <c r="Z218" i="3"/>
  <c r="Y310" i="3"/>
  <c r="L310" i="3"/>
  <c r="F382" i="3" s="1"/>
  <c r="K310" i="3"/>
  <c r="Z219" i="3" l="1"/>
  <c r="X218" i="3"/>
  <c r="E312" i="3"/>
  <c r="Y312" i="3" s="1"/>
  <c r="J311" i="3"/>
  <c r="AQ393" i="8"/>
  <c r="K311" i="3"/>
  <c r="L311" i="3"/>
  <c r="AF154" i="14"/>
  <c r="E313" i="3" l="1"/>
  <c r="X219" i="3"/>
  <c r="Z220" i="3"/>
  <c r="J312" i="3"/>
  <c r="L312" i="3"/>
  <c r="AQ395" i="8"/>
  <c r="K312" i="3"/>
  <c r="L313" i="3" l="1"/>
  <c r="F383" i="3" s="1"/>
  <c r="Y313" i="3"/>
  <c r="J313" i="3"/>
  <c r="D383" i="3" s="1"/>
  <c r="P393" i="8" s="1"/>
  <c r="K313" i="3"/>
  <c r="E383" i="3" s="1"/>
  <c r="E314" i="3"/>
  <c r="J314" i="3" s="1"/>
  <c r="X220" i="3"/>
  <c r="AQ397" i="8"/>
  <c r="Z221" i="3"/>
  <c r="X221" i="3" s="1"/>
  <c r="AF155" i="14"/>
  <c r="Y314" i="3" l="1"/>
  <c r="M311" i="3"/>
  <c r="G383" i="3"/>
  <c r="H383" i="3" s="1"/>
  <c r="K314" i="3"/>
  <c r="L314" i="3"/>
  <c r="AQ400" i="8"/>
  <c r="N154" i="14"/>
  <c r="Z222" i="3"/>
  <c r="E315" i="3"/>
  <c r="M312" i="3" l="1"/>
  <c r="Z311" i="3"/>
  <c r="L315" i="3"/>
  <c r="Y315" i="3"/>
  <c r="R393" i="8"/>
  <c r="K315" i="3"/>
  <c r="AQ402" i="8"/>
  <c r="J315" i="3"/>
  <c r="E316" i="3"/>
  <c r="Y316" i="3" s="1"/>
  <c r="X222" i="3"/>
  <c r="Z223" i="3"/>
  <c r="X223" i="3" s="1"/>
  <c r="M313" i="3" l="1"/>
  <c r="Z313" i="3" s="1"/>
  <c r="Z312" i="3"/>
  <c r="L316" i="3"/>
  <c r="F384" i="3" s="1"/>
  <c r="AQ404" i="8"/>
  <c r="K316" i="3"/>
  <c r="E384" i="3" s="1"/>
  <c r="J316" i="3"/>
  <c r="D384" i="3" s="1"/>
  <c r="P400" i="8" s="1"/>
  <c r="Z224" i="3"/>
  <c r="E317" i="3"/>
  <c r="Y317" i="3" s="1"/>
  <c r="AF156" i="14"/>
  <c r="N155" i="14" l="1"/>
  <c r="G384" i="3"/>
  <c r="H384" i="3" s="1"/>
  <c r="M314" i="3"/>
  <c r="Z225" i="3"/>
  <c r="Z226" i="3" s="1"/>
  <c r="X226" i="3" s="1"/>
  <c r="X224" i="3"/>
  <c r="AQ407" i="8"/>
  <c r="J317" i="3"/>
  <c r="K317" i="3"/>
  <c r="L317" i="3"/>
  <c r="E318" i="3"/>
  <c r="Y318" i="3" s="1"/>
  <c r="M315" i="3" l="1"/>
  <c r="Z314" i="3"/>
  <c r="R400" i="8"/>
  <c r="X225" i="3"/>
  <c r="E319" i="3"/>
  <c r="L318" i="3"/>
  <c r="J318" i="3"/>
  <c r="K318" i="3"/>
  <c r="AQ409" i="8"/>
  <c r="Z227" i="3"/>
  <c r="E320" i="3"/>
  <c r="M316" i="3" l="1"/>
  <c r="Z316" i="3" s="1"/>
  <c r="Z315" i="3"/>
  <c r="K319" i="3"/>
  <c r="E385" i="3" s="1"/>
  <c r="Y319" i="3"/>
  <c r="Y320" i="3"/>
  <c r="J319" i="3"/>
  <c r="D385" i="3" s="1"/>
  <c r="L319" i="3"/>
  <c r="F385" i="3" s="1"/>
  <c r="AQ411" i="8"/>
  <c r="E321" i="3"/>
  <c r="L321" i="3" s="1"/>
  <c r="X227" i="3"/>
  <c r="Z228" i="3"/>
  <c r="X228" i="3" s="1"/>
  <c r="AQ414" i="8"/>
  <c r="L320" i="3"/>
  <c r="K320" i="3"/>
  <c r="J320" i="3"/>
  <c r="AF157" i="14"/>
  <c r="Y321" i="3" l="1"/>
  <c r="G385" i="3"/>
  <c r="H385" i="3" s="1"/>
  <c r="P407" i="8"/>
  <c r="N156" i="14"/>
  <c r="M317" i="3"/>
  <c r="AQ416" i="8"/>
  <c r="J321" i="3"/>
  <c r="K321" i="3"/>
  <c r="E322" i="3"/>
  <c r="AQ418" i="8" s="1"/>
  <c r="Z229" i="3"/>
  <c r="Y322" i="3"/>
  <c r="M318" i="3" l="1"/>
  <c r="Z318" i="3" s="1"/>
  <c r="Z317" i="3"/>
  <c r="R407" i="8"/>
  <c r="K322" i="3"/>
  <c r="E386" i="3" s="1"/>
  <c r="L322" i="3"/>
  <c r="J322" i="3"/>
  <c r="D386" i="3" s="1"/>
  <c r="P414" i="8" s="1"/>
  <c r="Z230" i="3"/>
  <c r="X229" i="3"/>
  <c r="E323" i="3"/>
  <c r="L323" i="3" s="1"/>
  <c r="M319" i="3" l="1"/>
  <c r="Z319" i="3" s="1"/>
  <c r="Y323" i="3"/>
  <c r="M320" i="3"/>
  <c r="Z320" i="3" s="1"/>
  <c r="F386" i="3"/>
  <c r="G386" i="3" s="1"/>
  <c r="N157" i="14"/>
  <c r="AQ421" i="8"/>
  <c r="K323" i="3"/>
  <c r="E324" i="3"/>
  <c r="X230" i="3"/>
  <c r="J323" i="3"/>
  <c r="Z231" i="3"/>
  <c r="AF158" i="14"/>
  <c r="K324" i="3" l="1"/>
  <c r="Y324" i="3"/>
  <c r="M321" i="3"/>
  <c r="R414" i="8"/>
  <c r="H386" i="3"/>
  <c r="AM157" i="14" s="1"/>
  <c r="AQ423" i="8"/>
  <c r="L324" i="3"/>
  <c r="J324" i="3"/>
  <c r="E325" i="3"/>
  <c r="X231" i="3"/>
  <c r="Z232" i="3"/>
  <c r="X232" i="3" s="1"/>
  <c r="M322" i="3" l="1"/>
  <c r="Z322" i="3" s="1"/>
  <c r="Z321" i="3"/>
  <c r="L325" i="3"/>
  <c r="F387" i="3" s="1"/>
  <c r="Y325" i="3"/>
  <c r="V414" i="8"/>
  <c r="AQ425" i="8"/>
  <c r="K325" i="3"/>
  <c r="E387" i="3" s="1"/>
  <c r="J325" i="3"/>
  <c r="D387" i="3" s="1"/>
  <c r="P421" i="8" s="1"/>
  <c r="Z233" i="3"/>
  <c r="E326" i="3"/>
  <c r="Y326" i="3" s="1"/>
  <c r="AF159" i="14"/>
  <c r="M323" i="3" l="1"/>
  <c r="Z323" i="3" s="1"/>
  <c r="G387" i="3"/>
  <c r="N158" i="14"/>
  <c r="E327" i="3"/>
  <c r="X233" i="3"/>
  <c r="Z234" i="3"/>
  <c r="K326" i="3"/>
  <c r="AQ428" i="8"/>
  <c r="J326" i="3"/>
  <c r="L326" i="3"/>
  <c r="K327" i="3" l="1"/>
  <c r="Y327" i="3"/>
  <c r="M324" i="3"/>
  <c r="H387" i="3"/>
  <c r="AM158" i="14" s="1"/>
  <c r="R421" i="8"/>
  <c r="L327" i="3"/>
  <c r="J327" i="3"/>
  <c r="AQ430" i="8"/>
  <c r="Z235" i="3"/>
  <c r="X234" i="3"/>
  <c r="E328" i="3"/>
  <c r="J328" i="3" l="1"/>
  <c r="D388" i="3" s="1"/>
  <c r="N159" i="14" s="1"/>
  <c r="Y328" i="3"/>
  <c r="M325" i="3"/>
  <c r="Z325" i="3" s="1"/>
  <c r="Z324" i="3"/>
  <c r="V421" i="8"/>
  <c r="L328" i="3"/>
  <c r="F388" i="3" s="1"/>
  <c r="AQ432" i="8"/>
  <c r="K328" i="3"/>
  <c r="E388" i="3" s="1"/>
  <c r="Z236" i="3"/>
  <c r="X235" i="3"/>
  <c r="E329" i="3"/>
  <c r="J329" i="3" s="1"/>
  <c r="AF160" i="14"/>
  <c r="Y329" i="3" l="1"/>
  <c r="P428" i="8"/>
  <c r="G388" i="3"/>
  <c r="H388" i="3" s="1"/>
  <c r="M326" i="3"/>
  <c r="Z326" i="3" s="1"/>
  <c r="L329" i="3"/>
  <c r="K329" i="3"/>
  <c r="AQ435" i="8"/>
  <c r="E330" i="3"/>
  <c r="X236" i="3"/>
  <c r="Z237" i="3"/>
  <c r="AQ437" i="8" l="1"/>
  <c r="Y330" i="3"/>
  <c r="R428" i="8"/>
  <c r="M327" i="3"/>
  <c r="Z327" i="3" s="1"/>
  <c r="J330" i="3"/>
  <c r="E331" i="3"/>
  <c r="X237" i="3"/>
  <c r="Z238" i="3"/>
  <c r="L330" i="3"/>
  <c r="K330" i="3"/>
  <c r="V428" i="8"/>
  <c r="AM159" i="14"/>
  <c r="L331" i="3" l="1"/>
  <c r="F389" i="3" s="1"/>
  <c r="Y331" i="3"/>
  <c r="M328" i="3"/>
  <c r="Z328" i="3" s="1"/>
  <c r="J331" i="3"/>
  <c r="D389" i="3" s="1"/>
  <c r="N160" i="14" s="1"/>
  <c r="K331" i="3"/>
  <c r="AQ439" i="8"/>
  <c r="X238" i="3"/>
  <c r="E332" i="3"/>
  <c r="Y332" i="3" s="1"/>
  <c r="Z239" i="3"/>
  <c r="AF161" i="14"/>
  <c r="M329" i="3" l="1"/>
  <c r="M330" i="3" s="1"/>
  <c r="Z330" i="3" s="1"/>
  <c r="P435" i="8"/>
  <c r="E389" i="3"/>
  <c r="G389" i="3" s="1"/>
  <c r="E333" i="3"/>
  <c r="X239" i="3"/>
  <c r="Z240" i="3"/>
  <c r="AQ442" i="8"/>
  <c r="J332" i="3"/>
  <c r="K332" i="3"/>
  <c r="L332" i="3"/>
  <c r="Z329" i="3" l="1"/>
  <c r="AQ444" i="8"/>
  <c r="Y333" i="3"/>
  <c r="M331" i="3"/>
  <c r="Z331" i="3" s="1"/>
  <c r="X331" i="3" s="1"/>
  <c r="L333" i="3"/>
  <c r="H389" i="3"/>
  <c r="AM160" i="14" s="1"/>
  <c r="J333" i="3"/>
  <c r="K333" i="3"/>
  <c r="R435" i="8"/>
  <c r="E334" i="3"/>
  <c r="X240" i="3"/>
  <c r="Z241" i="3"/>
  <c r="AF162" i="14"/>
  <c r="W331" i="3" l="1"/>
  <c r="X439" i="8"/>
  <c r="AQ446" i="8"/>
  <c r="Y334" i="3"/>
  <c r="V435" i="8"/>
  <c r="L334" i="3"/>
  <c r="F390" i="3" s="1"/>
  <c r="J334" i="3"/>
  <c r="D390" i="3" s="1"/>
  <c r="N161" i="14" s="1"/>
  <c r="K334" i="3"/>
  <c r="E390" i="3" s="1"/>
  <c r="Z242" i="3"/>
  <c r="Z243" i="3" s="1"/>
  <c r="X241" i="3"/>
  <c r="E335" i="3"/>
  <c r="P442" i="8" l="1"/>
  <c r="L335" i="3"/>
  <c r="Y335" i="3"/>
  <c r="G390" i="3"/>
  <c r="R442" i="8" s="1"/>
  <c r="M332" i="3"/>
  <c r="J335" i="3"/>
  <c r="E337" i="3"/>
  <c r="X243" i="3"/>
  <c r="Z244" i="3"/>
  <c r="E336" i="3"/>
  <c r="X242" i="3"/>
  <c r="K335" i="3"/>
  <c r="AQ449" i="8"/>
  <c r="J337" i="3" l="1"/>
  <c r="Y337" i="3"/>
  <c r="K336" i="3"/>
  <c r="Y336" i="3"/>
  <c r="M333" i="3"/>
  <c r="Z332" i="3"/>
  <c r="X332" i="3" s="1"/>
  <c r="H390" i="3"/>
  <c r="V442" i="8" s="1"/>
  <c r="AQ453" i="8"/>
  <c r="K337" i="3"/>
  <c r="L337" i="3"/>
  <c r="Z245" i="3"/>
  <c r="X244" i="3"/>
  <c r="E338" i="3"/>
  <c r="AQ451" i="8"/>
  <c r="L336" i="3"/>
  <c r="J336" i="3"/>
  <c r="AF163" i="14"/>
  <c r="D391" i="3" l="1"/>
  <c r="N162" i="14" s="1"/>
  <c r="AQ456" i="8"/>
  <c r="Y338" i="3"/>
  <c r="W332" i="3"/>
  <c r="X442" i="8"/>
  <c r="E391" i="3"/>
  <c r="M334" i="3"/>
  <c r="Z333" i="3"/>
  <c r="X333" i="3" s="1"/>
  <c r="F391" i="3"/>
  <c r="AM161" i="14"/>
  <c r="L338" i="3"/>
  <c r="M335" i="3"/>
  <c r="E339" i="3"/>
  <c r="Y339" i="3" s="1"/>
  <c r="X245" i="3"/>
  <c r="Z246" i="3"/>
  <c r="K338" i="3"/>
  <c r="J338" i="3"/>
  <c r="P449" i="8" l="1"/>
  <c r="G391" i="3"/>
  <c r="R449" i="8" s="1"/>
  <c r="W333" i="3"/>
  <c r="X444" i="8"/>
  <c r="M336" i="3"/>
  <c r="Z335" i="3"/>
  <c r="X335" i="3" s="1"/>
  <c r="Z334" i="3"/>
  <c r="X334" i="3" s="1"/>
  <c r="J339" i="3"/>
  <c r="K339" i="3"/>
  <c r="AQ458" i="8"/>
  <c r="L339" i="3"/>
  <c r="E340" i="3"/>
  <c r="Y340" i="3" s="1"/>
  <c r="X246" i="3"/>
  <c r="Z247" i="3"/>
  <c r="H391" i="3" l="1"/>
  <c r="V449" i="8" s="1"/>
  <c r="W335" i="3"/>
  <c r="X449" i="8"/>
  <c r="W334" i="3"/>
  <c r="X446" i="8"/>
  <c r="M337" i="3"/>
  <c r="Z336" i="3"/>
  <c r="X336" i="3" s="1"/>
  <c r="L340" i="3"/>
  <c r="F392" i="3" s="1"/>
  <c r="AQ460" i="8"/>
  <c r="J340" i="3"/>
  <c r="D392" i="3" s="1"/>
  <c r="P456" i="8" s="1"/>
  <c r="K340" i="3"/>
  <c r="E392" i="3" s="1"/>
  <c r="Z248" i="3"/>
  <c r="X247" i="3"/>
  <c r="E341" i="3"/>
  <c r="Y341" i="3" s="1"/>
  <c r="AF164" i="14"/>
  <c r="AM162" i="14" l="1"/>
  <c r="W336" i="3"/>
  <c r="X451" i="8"/>
  <c r="Z337" i="3"/>
  <c r="X337" i="3" s="1"/>
  <c r="G392" i="3"/>
  <c r="M338" i="3"/>
  <c r="N163" i="14"/>
  <c r="E342" i="3"/>
  <c r="Y342" i="3" s="1"/>
  <c r="X248" i="3"/>
  <c r="Z249" i="3"/>
  <c r="J341" i="3"/>
  <c r="AQ463" i="8"/>
  <c r="K341" i="3"/>
  <c r="L341" i="3"/>
  <c r="W337" i="3" l="1"/>
  <c r="X453" i="8"/>
  <c r="M339" i="3"/>
  <c r="Z338" i="3"/>
  <c r="X338" i="3" s="1"/>
  <c r="R456" i="8"/>
  <c r="H392" i="3"/>
  <c r="AM163" i="14" s="1"/>
  <c r="J342" i="3"/>
  <c r="K342" i="3"/>
  <c r="L342" i="3"/>
  <c r="AQ465" i="8"/>
  <c r="E343" i="3"/>
  <c r="X249" i="3"/>
  <c r="Z250" i="3"/>
  <c r="W338" i="3" l="1"/>
  <c r="X456" i="8"/>
  <c r="L343" i="3"/>
  <c r="F393" i="3" s="1"/>
  <c r="Y343" i="3"/>
  <c r="M340" i="3"/>
  <c r="Z339" i="3"/>
  <c r="X339" i="3" s="1"/>
  <c r="V456" i="8"/>
  <c r="K343" i="3"/>
  <c r="E393" i="3" s="1"/>
  <c r="J343" i="3"/>
  <c r="D393" i="3" s="1"/>
  <c r="P463" i="8" s="1"/>
  <c r="AQ467" i="8"/>
  <c r="X250" i="3"/>
  <c r="Z251" i="3"/>
  <c r="E344" i="3"/>
  <c r="AF165" i="14"/>
  <c r="L344" i="3" l="1"/>
  <c r="Y344" i="3"/>
  <c r="W339" i="3"/>
  <c r="X458" i="8"/>
  <c r="Z340" i="3"/>
  <c r="X340" i="3" s="1"/>
  <c r="N164" i="14"/>
  <c r="G393" i="3"/>
  <c r="M341" i="3"/>
  <c r="Z341" i="3" s="1"/>
  <c r="E345" i="3"/>
  <c r="X251" i="3"/>
  <c r="Z252" i="3"/>
  <c r="AQ470" i="8"/>
  <c r="K344" i="3"/>
  <c r="J344" i="3"/>
  <c r="W340" i="3" l="1"/>
  <c r="X460" i="8"/>
  <c r="L345" i="3"/>
  <c r="Y345" i="3"/>
  <c r="H393" i="3"/>
  <c r="V463" i="8" s="1"/>
  <c r="R463" i="8"/>
  <c r="J345" i="3"/>
  <c r="AQ472" i="8"/>
  <c r="X341" i="3"/>
  <c r="M342" i="3"/>
  <c r="Z342" i="3" s="1"/>
  <c r="K345" i="3"/>
  <c r="E346" i="3"/>
  <c r="X252" i="3"/>
  <c r="Z253" i="3"/>
  <c r="X253" i="3" s="1"/>
  <c r="AF166" i="14"/>
  <c r="K346" i="3" l="1"/>
  <c r="E394" i="3" s="1"/>
  <c r="Y346" i="3"/>
  <c r="W341" i="3"/>
  <c r="X463" i="8"/>
  <c r="AM164" i="14"/>
  <c r="AQ474" i="8"/>
  <c r="J346" i="3"/>
  <c r="D394" i="3" s="1"/>
  <c r="N165" i="14" s="1"/>
  <c r="L346" i="3"/>
  <c r="F394" i="3" s="1"/>
  <c r="X342" i="3"/>
  <c r="M343" i="3"/>
  <c r="E347" i="3"/>
  <c r="Y347" i="3" s="1"/>
  <c r="Z254" i="3"/>
  <c r="W342" i="3" l="1"/>
  <c r="X465" i="8"/>
  <c r="Z343" i="3"/>
  <c r="X343" i="3" s="1"/>
  <c r="G394" i="3"/>
  <c r="H394" i="3" s="1"/>
  <c r="AM165" i="14" s="1"/>
  <c r="M344" i="3"/>
  <c r="P470" i="8"/>
  <c r="Z255" i="3"/>
  <c r="Z256" i="3" s="1"/>
  <c r="X256" i="3" s="1"/>
  <c r="X254" i="3"/>
  <c r="E348" i="3"/>
  <c r="Y348" i="3" s="1"/>
  <c r="J347" i="3"/>
  <c r="AQ477" i="8"/>
  <c r="K347" i="3"/>
  <c r="L347" i="3"/>
  <c r="W343" i="3" l="1"/>
  <c r="X467" i="8"/>
  <c r="Z344" i="3"/>
  <c r="X344" i="3" s="1"/>
  <c r="M345" i="3"/>
  <c r="V470" i="8"/>
  <c r="R470" i="8"/>
  <c r="E349" i="3"/>
  <c r="Y349" i="3" s="1"/>
  <c r="X255" i="3"/>
  <c r="L348" i="3"/>
  <c r="K348" i="3"/>
  <c r="J348" i="3"/>
  <c r="AQ479" i="8"/>
  <c r="E350" i="3"/>
  <c r="Z257" i="3"/>
  <c r="AF167" i="14"/>
  <c r="Y350" i="3" l="1"/>
  <c r="W344" i="3"/>
  <c r="X470" i="8"/>
  <c r="Z345" i="3"/>
  <c r="X345" i="3" s="1"/>
  <c r="M346" i="3"/>
  <c r="Z258" i="3"/>
  <c r="Z259" i="3" s="1"/>
  <c r="X259" i="3" s="1"/>
  <c r="X257" i="3"/>
  <c r="AQ481" i="8"/>
  <c r="K349" i="3"/>
  <c r="E395" i="3" s="1"/>
  <c r="L349" i="3"/>
  <c r="F395" i="3" s="1"/>
  <c r="J349" i="3"/>
  <c r="D395" i="3" s="1"/>
  <c r="E351" i="3"/>
  <c r="Y351" i="3" s="1"/>
  <c r="K350" i="3"/>
  <c r="L350" i="3"/>
  <c r="AQ484" i="8"/>
  <c r="J350" i="3"/>
  <c r="W345" i="3" l="1"/>
  <c r="X472" i="8"/>
  <c r="Z346" i="3"/>
  <c r="X346" i="3" s="1"/>
  <c r="M347" i="3"/>
  <c r="E352" i="3"/>
  <c r="X258" i="3"/>
  <c r="P477" i="8"/>
  <c r="N166" i="14"/>
  <c r="G395" i="3"/>
  <c r="H395" i="3" s="1"/>
  <c r="J351" i="3"/>
  <c r="L351" i="3"/>
  <c r="K351" i="3"/>
  <c r="AQ486" i="8"/>
  <c r="Z260" i="3"/>
  <c r="E353" i="3"/>
  <c r="Y353" i="3" s="1"/>
  <c r="AF168" i="14"/>
  <c r="J352" i="3" l="1"/>
  <c r="D396" i="3" s="1"/>
  <c r="P484" i="8" s="1"/>
  <c r="Y352" i="3"/>
  <c r="W346" i="3"/>
  <c r="X474" i="8"/>
  <c r="Z347" i="3"/>
  <c r="X347" i="3" s="1"/>
  <c r="M348" i="3"/>
  <c r="AQ488" i="8"/>
  <c r="R477" i="8"/>
  <c r="Z261" i="3"/>
  <c r="X260" i="3"/>
  <c r="K352" i="3"/>
  <c r="E396" i="3" s="1"/>
  <c r="L352" i="3"/>
  <c r="K353" i="3"/>
  <c r="AQ491" i="8"/>
  <c r="L353" i="3"/>
  <c r="J353" i="3"/>
  <c r="E354" i="3"/>
  <c r="Y354" i="3" s="1"/>
  <c r="AM166" i="14"/>
  <c r="V477" i="8"/>
  <c r="W347" i="3" l="1"/>
  <c r="X477" i="8"/>
  <c r="M349" i="3"/>
  <c r="Z348" i="3"/>
  <c r="X348" i="3" s="1"/>
  <c r="M350" i="3"/>
  <c r="N167" i="14"/>
  <c r="Z262" i="3"/>
  <c r="Z263" i="3" s="1"/>
  <c r="X263" i="3" s="1"/>
  <c r="X261" i="3"/>
  <c r="E355" i="3"/>
  <c r="F396" i="3"/>
  <c r="G396" i="3" s="1"/>
  <c r="H396" i="3" s="1"/>
  <c r="K354" i="3"/>
  <c r="J354" i="3"/>
  <c r="AQ493" i="8"/>
  <c r="L354" i="3"/>
  <c r="AF169" i="14"/>
  <c r="W348" i="3" l="1"/>
  <c r="X479" i="8"/>
  <c r="J355" i="3"/>
  <c r="D397" i="3" s="1"/>
  <c r="P491" i="8" s="1"/>
  <c r="Y355" i="3"/>
  <c r="M351" i="3"/>
  <c r="Z351" i="3" s="1"/>
  <c r="X351" i="3" s="1"/>
  <c r="Z350" i="3"/>
  <c r="X350" i="3" s="1"/>
  <c r="Z349" i="3"/>
  <c r="X349" i="3" s="1"/>
  <c r="L355" i="3"/>
  <c r="F397" i="3" s="1"/>
  <c r="AQ495" i="8"/>
  <c r="K355" i="3"/>
  <c r="E397" i="3" s="1"/>
  <c r="E356" i="3"/>
  <c r="L356" i="3" s="1"/>
  <c r="X262" i="3"/>
  <c r="Z264" i="3"/>
  <c r="R484" i="8"/>
  <c r="E357" i="3"/>
  <c r="Y357" i="3" l="1"/>
  <c r="W350" i="3"/>
  <c r="X484" i="8"/>
  <c r="W349" i="3"/>
  <c r="X481" i="8"/>
  <c r="W351" i="3"/>
  <c r="X486" i="8"/>
  <c r="Y356" i="3"/>
  <c r="M352" i="3"/>
  <c r="Z352" i="3" s="1"/>
  <c r="X352" i="3" s="1"/>
  <c r="M353" i="3"/>
  <c r="K356" i="3"/>
  <c r="J356" i="3"/>
  <c r="AQ498" i="8"/>
  <c r="G397" i="3"/>
  <c r="N168" i="14"/>
  <c r="Z265" i="3"/>
  <c r="X264" i="3"/>
  <c r="E358" i="3"/>
  <c r="AQ502" i="8" s="1"/>
  <c r="V484" i="8"/>
  <c r="AM167" i="14"/>
  <c r="J357" i="3"/>
  <c r="L357" i="3"/>
  <c r="AQ500" i="8"/>
  <c r="K357" i="3"/>
  <c r="AF170" i="14"/>
  <c r="Y358" i="3" l="1"/>
  <c r="W352" i="3"/>
  <c r="X488" i="8"/>
  <c r="Z353" i="3"/>
  <c r="X353" i="3" s="1"/>
  <c r="R491" i="8"/>
  <c r="H397" i="3"/>
  <c r="AM168" i="14" s="1"/>
  <c r="M354" i="3"/>
  <c r="L358" i="3"/>
  <c r="F398" i="3" s="1"/>
  <c r="K358" i="3"/>
  <c r="E398" i="3" s="1"/>
  <c r="J358" i="3"/>
  <c r="D398" i="3" s="1"/>
  <c r="X265" i="3"/>
  <c r="Z266" i="3"/>
  <c r="E359" i="3"/>
  <c r="K359" i="3" s="1"/>
  <c r="Y359" i="3" l="1"/>
  <c r="W353" i="3"/>
  <c r="X491" i="8"/>
  <c r="M355" i="3"/>
  <c r="Z354" i="3"/>
  <c r="X354" i="3" s="1"/>
  <c r="V491" i="8"/>
  <c r="G398" i="3"/>
  <c r="M356" i="3"/>
  <c r="L359" i="3"/>
  <c r="AQ505" i="8"/>
  <c r="J359" i="3"/>
  <c r="Z267" i="3"/>
  <c r="E361" i="3" s="1"/>
  <c r="X266" i="3"/>
  <c r="E360" i="3"/>
  <c r="P498" i="8"/>
  <c r="N169" i="14"/>
  <c r="AF171" i="14"/>
  <c r="Y361" i="3" l="1"/>
  <c r="W354" i="3"/>
  <c r="X493" i="8"/>
  <c r="K360" i="3"/>
  <c r="Y360" i="3"/>
  <c r="M357" i="3"/>
  <c r="Z357" i="3" s="1"/>
  <c r="X357" i="3" s="1"/>
  <c r="Z356" i="3"/>
  <c r="X356" i="3" s="1"/>
  <c r="Z355" i="3"/>
  <c r="X355" i="3" s="1"/>
  <c r="R498" i="8"/>
  <c r="H398" i="3"/>
  <c r="V498" i="8" s="1"/>
  <c r="L360" i="3"/>
  <c r="J360" i="3"/>
  <c r="AQ507" i="8"/>
  <c r="Z268" i="3"/>
  <c r="Z269" i="3" s="1"/>
  <c r="AQ509" i="8"/>
  <c r="K361" i="3"/>
  <c r="J361" i="3"/>
  <c r="L361" i="3"/>
  <c r="X267" i="3"/>
  <c r="E399" i="3" l="1"/>
  <c r="W357" i="3"/>
  <c r="X500" i="8"/>
  <c r="W356" i="3"/>
  <c r="X498" i="8"/>
  <c r="W355" i="3"/>
  <c r="X495" i="8"/>
  <c r="M358" i="3"/>
  <c r="Z358" i="3" s="1"/>
  <c r="X358" i="3" s="1"/>
  <c r="AM169" i="14"/>
  <c r="F399" i="3"/>
  <c r="D399" i="3"/>
  <c r="P505" i="8" s="1"/>
  <c r="E362" i="3"/>
  <c r="M359" i="3"/>
  <c r="X268" i="3"/>
  <c r="E363" i="3"/>
  <c r="X269" i="3"/>
  <c r="Z270" i="3"/>
  <c r="E364" i="3" s="1"/>
  <c r="L364" i="3" s="1"/>
  <c r="AF172" i="14"/>
  <c r="G399" i="3" l="1"/>
  <c r="R505" i="8" s="1"/>
  <c r="W358" i="3"/>
  <c r="X502" i="8"/>
  <c r="L363" i="3"/>
  <c r="Y363" i="3"/>
  <c r="L362" i="3"/>
  <c r="Y362" i="3"/>
  <c r="Y364" i="3"/>
  <c r="M360" i="3"/>
  <c r="Z360" i="3" s="1"/>
  <c r="X360" i="3" s="1"/>
  <c r="Z359" i="3"/>
  <c r="X359" i="3" s="1"/>
  <c r="AQ514" i="8"/>
  <c r="K363" i="3"/>
  <c r="AQ512" i="8"/>
  <c r="N170" i="14"/>
  <c r="J362" i="3"/>
  <c r="K362" i="3"/>
  <c r="J363" i="3"/>
  <c r="Z271" i="3"/>
  <c r="X270" i="3"/>
  <c r="K364" i="3"/>
  <c r="AQ516" i="8"/>
  <c r="J364" i="3"/>
  <c r="H399" i="3" l="1"/>
  <c r="V505" i="8" s="1"/>
  <c r="F400" i="3"/>
  <c r="W360" i="3"/>
  <c r="X507" i="8"/>
  <c r="M361" i="3"/>
  <c r="Z361" i="3" s="1"/>
  <c r="X361" i="3" s="1"/>
  <c r="W359" i="3"/>
  <c r="X505" i="8"/>
  <c r="M362" i="3"/>
  <c r="E400" i="3"/>
  <c r="D400" i="3"/>
  <c r="P512" i="8" s="1"/>
  <c r="Z272" i="3"/>
  <c r="X271" i="3"/>
  <c r="E365" i="3"/>
  <c r="AF173" i="14"/>
  <c r="G400" i="3" l="1"/>
  <c r="R512" i="8" s="1"/>
  <c r="AM170" i="14"/>
  <c r="W361" i="3"/>
  <c r="X509" i="8"/>
  <c r="J365" i="3"/>
  <c r="Y365" i="3"/>
  <c r="Z362" i="3"/>
  <c r="X362" i="3" s="1"/>
  <c r="N171" i="14"/>
  <c r="H400" i="3"/>
  <c r="AM171" i="14" s="1"/>
  <c r="M363" i="3"/>
  <c r="E366" i="3"/>
  <c r="X272" i="3"/>
  <c r="Z273" i="3"/>
  <c r="X273" i="3" s="1"/>
  <c r="K365" i="3"/>
  <c r="AQ519" i="8"/>
  <c r="L365" i="3"/>
  <c r="J366" i="3" l="1"/>
  <c r="Y366" i="3"/>
  <c r="W362" i="3"/>
  <c r="X512" i="8"/>
  <c r="Z363" i="3"/>
  <c r="X363" i="3" s="1"/>
  <c r="M364" i="3"/>
  <c r="V512" i="8"/>
  <c r="L366" i="3"/>
  <c r="K366" i="3"/>
  <c r="AQ521" i="8"/>
  <c r="E367" i="3"/>
  <c r="Y367" i="3" s="1"/>
  <c r="Z274" i="3"/>
  <c r="W363" i="3" l="1"/>
  <c r="X514" i="8"/>
  <c r="Z364" i="3"/>
  <c r="X364" i="3" s="1"/>
  <c r="Z275" i="3"/>
  <c r="Z276" i="3" s="1"/>
  <c r="X274" i="3"/>
  <c r="E368" i="3"/>
  <c r="Y368" i="3" s="1"/>
  <c r="AQ523" i="8"/>
  <c r="J367" i="3"/>
  <c r="D401" i="3" s="1"/>
  <c r="K367" i="3"/>
  <c r="L367" i="3"/>
  <c r="F401" i="3" s="1"/>
  <c r="X311" i="3"/>
  <c r="X313" i="3"/>
  <c r="W364" i="3" l="1"/>
  <c r="X516" i="8"/>
  <c r="E370" i="3"/>
  <c r="X276" i="3"/>
  <c r="E369" i="3"/>
  <c r="X275" i="3"/>
  <c r="P519" i="8"/>
  <c r="N172" i="14"/>
  <c r="L368" i="3"/>
  <c r="AQ526" i="8"/>
  <c r="J368" i="3"/>
  <c r="K368" i="3"/>
  <c r="M365" i="3"/>
  <c r="Z365" i="3" s="1"/>
  <c r="E401" i="3"/>
  <c r="G401" i="3" s="1"/>
  <c r="H401" i="3" s="1"/>
  <c r="X312" i="3"/>
  <c r="W313" i="3"/>
  <c r="X397" i="8"/>
  <c r="X314" i="3"/>
  <c r="K369" i="3" l="1"/>
  <c r="Y369" i="3"/>
  <c r="AQ530" i="8"/>
  <c r="Y370" i="3"/>
  <c r="L370" i="3"/>
  <c r="AW29" i="18"/>
  <c r="AN4" i="18"/>
  <c r="AN4" i="15"/>
  <c r="AW75" i="15"/>
  <c r="AQ528" i="8"/>
  <c r="K370" i="3"/>
  <c r="AW174" i="14"/>
  <c r="J370" i="3"/>
  <c r="AN4" i="14"/>
  <c r="L369" i="3"/>
  <c r="J369" i="3"/>
  <c r="R519" i="8"/>
  <c r="M366" i="3"/>
  <c r="Z366" i="3" s="1"/>
  <c r="X365" i="3"/>
  <c r="W312" i="3"/>
  <c r="X395" i="8"/>
  <c r="W314" i="3"/>
  <c r="X400" i="8"/>
  <c r="E402" i="3" l="1"/>
  <c r="W365" i="3"/>
  <c r="X519" i="8"/>
  <c r="M368" i="3"/>
  <c r="D402" i="3"/>
  <c r="P526" i="8" s="1"/>
  <c r="F402" i="3"/>
  <c r="X366" i="3"/>
  <c r="M367" i="3"/>
  <c r="AM172" i="14"/>
  <c r="V519" i="8"/>
  <c r="X316" i="3"/>
  <c r="G402" i="3" l="1"/>
  <c r="H402" i="3" s="1"/>
  <c r="W366" i="3"/>
  <c r="X521" i="8"/>
  <c r="Z367" i="3"/>
  <c r="X367" i="3" s="1"/>
  <c r="M369" i="3"/>
  <c r="Z369" i="3" s="1"/>
  <c r="X369" i="3" s="1"/>
  <c r="Z368" i="3"/>
  <c r="X368" i="3" s="1"/>
  <c r="N173" i="14"/>
  <c r="W316" i="3"/>
  <c r="X404" i="8"/>
  <c r="R526" i="8" l="1"/>
  <c r="W368" i="3"/>
  <c r="X526" i="8"/>
  <c r="W367" i="3"/>
  <c r="X523" i="8"/>
  <c r="W369" i="3"/>
  <c r="X528" i="8"/>
  <c r="M370" i="3"/>
  <c r="Z370" i="3" s="1"/>
  <c r="X370" i="3" s="1"/>
  <c r="AM173" i="14"/>
  <c r="V526" i="8"/>
  <c r="X315" i="3"/>
  <c r="W370" i="3" l="1"/>
  <c r="X530" i="8"/>
  <c r="W315" i="3"/>
  <c r="X402" i="8"/>
  <c r="X318" i="3" l="1"/>
  <c r="X317" i="3" l="1"/>
  <c r="W318" i="3"/>
  <c r="X409" i="8"/>
  <c r="X407" i="8" l="1"/>
  <c r="W317" i="3"/>
  <c r="X319" i="3"/>
  <c r="W319" i="3" l="1"/>
  <c r="X411" i="8"/>
  <c r="X320" i="3" l="1"/>
  <c r="W320" i="3" l="1"/>
  <c r="X414" i="8"/>
  <c r="X321" i="3" l="1"/>
  <c r="X322" i="3"/>
  <c r="W321" i="3" l="1"/>
  <c r="X416" i="8"/>
  <c r="W322" i="3"/>
  <c r="X418" i="8"/>
  <c r="X323" i="3" l="1"/>
  <c r="W323" i="3" l="1"/>
  <c r="X421" i="8"/>
  <c r="X324" i="3" l="1"/>
  <c r="W324" i="3" l="1"/>
  <c r="X423" i="8"/>
  <c r="X325" i="3" l="1"/>
  <c r="W325" i="3" s="1"/>
  <c r="X425" i="8" l="1"/>
  <c r="X326" i="3" l="1"/>
  <c r="W326" i="3" l="1"/>
  <c r="X428" i="8"/>
  <c r="X327" i="3" l="1"/>
  <c r="X430" i="8" l="1"/>
  <c r="W327" i="3"/>
  <c r="X328" i="3"/>
  <c r="W328" i="3" l="1"/>
  <c r="X432" i="8"/>
  <c r="X329" i="3" l="1"/>
  <c r="X435" i="8" l="1"/>
  <c r="W329" i="3"/>
  <c r="X330" i="3"/>
  <c r="X437" i="8" l="1"/>
  <c r="W330" i="3"/>
  <c r="X95" i="8" l="1"/>
  <c r="W187" i="3" l="1"/>
  <c r="AQ327" i="8" l="1"/>
  <c r="X97" i="8"/>
  <c r="J283" i="3" l="1"/>
  <c r="J327" i="8" s="1"/>
  <c r="AA60" i="1"/>
  <c r="W188" i="3"/>
  <c r="AQ325" i="8"/>
  <c r="Y283" i="3" l="1"/>
  <c r="E373" i="3"/>
  <c r="J282" i="3"/>
  <c r="X102" i="8"/>
  <c r="Y282" i="3" l="1"/>
  <c r="J325" i="8"/>
  <c r="AQ330" i="8"/>
  <c r="W190" i="3"/>
  <c r="J284" i="3" l="1"/>
  <c r="Y284" i="3" s="1"/>
  <c r="X106" i="8"/>
  <c r="X104" i="8"/>
  <c r="AQ332" i="8" l="1"/>
  <c r="J285" i="3"/>
  <c r="Y285" i="3" s="1"/>
  <c r="AQ334" i="8"/>
  <c r="W191" i="3"/>
  <c r="W192" i="3"/>
  <c r="X109" i="8"/>
  <c r="M284" i="3" l="1"/>
  <c r="Z284" i="3" s="1"/>
  <c r="E374" i="3"/>
  <c r="G374" i="3" s="1"/>
  <c r="H374" i="3" s="1"/>
  <c r="AQ337" i="8"/>
  <c r="J286" i="3"/>
  <c r="Y286" i="3" s="1"/>
  <c r="W193" i="3"/>
  <c r="X113" i="8"/>
  <c r="M285" i="3" l="1"/>
  <c r="Z285" i="3" s="1"/>
  <c r="X284" i="3"/>
  <c r="R330" i="8"/>
  <c r="D374" i="3"/>
  <c r="N66" i="15" s="1"/>
  <c r="AQ341" i="8"/>
  <c r="AQ339" i="8"/>
  <c r="J287" i="3"/>
  <c r="Y287" i="3" s="1"/>
  <c r="W195" i="3"/>
  <c r="X111" i="8"/>
  <c r="N28" i="18" l="1"/>
  <c r="W284" i="3"/>
  <c r="X330" i="8"/>
  <c r="M287" i="3"/>
  <c r="Z287" i="3" s="1"/>
  <c r="M286" i="3"/>
  <c r="X285" i="3"/>
  <c r="E375" i="3"/>
  <c r="G375" i="3" s="1"/>
  <c r="H375" i="3" s="1"/>
  <c r="P330" i="8"/>
  <c r="N145" i="14"/>
  <c r="J288" i="3"/>
  <c r="Y288" i="3" s="1"/>
  <c r="J289" i="3"/>
  <c r="Y289" i="3" s="1"/>
  <c r="AM28" i="18"/>
  <c r="W194" i="3"/>
  <c r="X120" i="8"/>
  <c r="Z286" i="3" l="1"/>
  <c r="X286" i="3" s="1"/>
  <c r="X334" i="8" s="1"/>
  <c r="R337" i="8"/>
  <c r="M288" i="3"/>
  <c r="X116" i="8"/>
  <c r="X332" i="8"/>
  <c r="W285" i="3"/>
  <c r="AF67" i="15"/>
  <c r="D375" i="3"/>
  <c r="AF146" i="14"/>
  <c r="AM145" i="14"/>
  <c r="AM66" i="15"/>
  <c r="V330" i="8"/>
  <c r="AQ344" i="8"/>
  <c r="AQ348" i="8"/>
  <c r="J292" i="3"/>
  <c r="Y292" i="3" s="1"/>
  <c r="W198" i="3"/>
  <c r="X118" i="8"/>
  <c r="W286" i="3" l="1"/>
  <c r="M289" i="3"/>
  <c r="Z289" i="3" s="1"/>
  <c r="Z288" i="3"/>
  <c r="P337" i="8"/>
  <c r="N67" i="15"/>
  <c r="N146" i="14"/>
  <c r="W196" i="3"/>
  <c r="J290" i="3"/>
  <c r="Y290" i="3" s="1"/>
  <c r="AQ346" i="8"/>
  <c r="E376" i="3"/>
  <c r="G376" i="3" s="1"/>
  <c r="H376" i="3" s="1"/>
  <c r="W197" i="3"/>
  <c r="X123" i="8"/>
  <c r="M290" i="3" l="1"/>
  <c r="R344" i="8"/>
  <c r="AF68" i="15"/>
  <c r="AF147" i="14"/>
  <c r="V337" i="8"/>
  <c r="AM146" i="14"/>
  <c r="AM67" i="15"/>
  <c r="J291" i="3"/>
  <c r="Y291" i="3" s="1"/>
  <c r="AQ351" i="8"/>
  <c r="W199" i="3"/>
  <c r="M291" i="3" l="1"/>
  <c r="Z290" i="3"/>
  <c r="J293" i="3"/>
  <c r="D376" i="3"/>
  <c r="X125" i="8"/>
  <c r="X127" i="8"/>
  <c r="M292" i="3" l="1"/>
  <c r="Z292" i="3" s="1"/>
  <c r="Z291" i="3"/>
  <c r="P344" i="8"/>
  <c r="N68" i="15"/>
  <c r="N147" i="14"/>
  <c r="V344" i="8"/>
  <c r="AM147" i="14"/>
  <c r="AM68" i="15"/>
  <c r="AQ355" i="8"/>
  <c r="J295" i="3"/>
  <c r="J294" i="3"/>
  <c r="Y294" i="3" s="1"/>
  <c r="AQ353" i="8"/>
  <c r="W201" i="3"/>
  <c r="W200" i="3"/>
  <c r="E377" i="3" l="1"/>
  <c r="G377" i="3" s="1"/>
  <c r="H377" i="3" s="1"/>
  <c r="M293" i="3"/>
  <c r="Z293" i="3" s="1"/>
  <c r="D377" i="3"/>
  <c r="N69" i="15" s="1"/>
  <c r="X130" i="8"/>
  <c r="R351" i="8" l="1"/>
  <c r="AF69" i="15"/>
  <c r="AF148" i="14"/>
  <c r="M294" i="3"/>
  <c r="Z294" i="3" s="1"/>
  <c r="P351" i="8"/>
  <c r="N148" i="14"/>
  <c r="AQ358" i="8"/>
  <c r="W202" i="3"/>
  <c r="J296" i="3" l="1"/>
  <c r="M295" i="3"/>
  <c r="X294" i="3"/>
  <c r="X132" i="8"/>
  <c r="X134" i="8"/>
  <c r="Z295" i="3" l="1"/>
  <c r="X295" i="3" s="1"/>
  <c r="W295" i="3" s="1"/>
  <c r="W294" i="3"/>
  <c r="X353" i="8"/>
  <c r="V351" i="8"/>
  <c r="AM148" i="14"/>
  <c r="AM69" i="15"/>
  <c r="AQ362" i="8"/>
  <c r="J297" i="3"/>
  <c r="Y297" i="3" s="1"/>
  <c r="AQ360" i="8"/>
  <c r="W204" i="3"/>
  <c r="W203" i="3"/>
  <c r="X355" i="8" l="1"/>
  <c r="M296" i="3"/>
  <c r="E378" i="3"/>
  <c r="G378" i="3" s="1"/>
  <c r="H378" i="3" s="1"/>
  <c r="J298" i="3"/>
  <c r="AQ365" i="8"/>
  <c r="X137" i="8"/>
  <c r="X139" i="8"/>
  <c r="M297" i="3" l="1"/>
  <c r="Z296" i="3"/>
  <c r="X296" i="3" s="1"/>
  <c r="W296" i="3" s="1"/>
  <c r="D378" i="3"/>
  <c r="R358" i="8"/>
  <c r="J299" i="3"/>
  <c r="W206" i="3"/>
  <c r="W205" i="3"/>
  <c r="X141" i="8"/>
  <c r="M298" i="3" l="1"/>
  <c r="Z298" i="3" s="1"/>
  <c r="X298" i="3" s="1"/>
  <c r="X362" i="8" s="1"/>
  <c r="Z297" i="3"/>
  <c r="X297" i="3" s="1"/>
  <c r="X360" i="8" s="1"/>
  <c r="P358" i="8"/>
  <c r="N70" i="15"/>
  <c r="X358" i="8"/>
  <c r="N149" i="14"/>
  <c r="V358" i="8"/>
  <c r="AM149" i="14"/>
  <c r="AM70" i="15"/>
  <c r="AF149" i="14"/>
  <c r="AF70" i="15"/>
  <c r="AQ369" i="8"/>
  <c r="J300" i="3"/>
  <c r="AQ367" i="8"/>
  <c r="W207" i="3"/>
  <c r="X144" i="8"/>
  <c r="W297" i="3" l="1"/>
  <c r="E379" i="3"/>
  <c r="G379" i="3" s="1"/>
  <c r="H379" i="3" s="1"/>
  <c r="M299" i="3"/>
  <c r="Z299" i="3" s="1"/>
  <c r="W298" i="3"/>
  <c r="AQ372" i="8"/>
  <c r="J301" i="3"/>
  <c r="W208" i="3"/>
  <c r="AF150" i="14" l="1"/>
  <c r="X287" i="3"/>
  <c r="W287" i="3" s="1"/>
  <c r="AF71" i="15"/>
  <c r="R365" i="8"/>
  <c r="X299" i="3"/>
  <c r="M300" i="3"/>
  <c r="Z300" i="3" s="1"/>
  <c r="D379" i="3"/>
  <c r="J302" i="3"/>
  <c r="X146" i="8"/>
  <c r="X148" i="8"/>
  <c r="P365" i="8" l="1"/>
  <c r="N71" i="15"/>
  <c r="X337" i="8"/>
  <c r="N150" i="14"/>
  <c r="AM71" i="15"/>
  <c r="V365" i="8"/>
  <c r="AM150" i="14"/>
  <c r="W299" i="3"/>
  <c r="X365" i="8"/>
  <c r="X300" i="3"/>
  <c r="M301" i="3"/>
  <c r="AQ376" i="8"/>
  <c r="AQ374" i="8"/>
  <c r="J303" i="3"/>
  <c r="M302" i="3"/>
  <c r="Z302" i="3" s="1"/>
  <c r="W210" i="3"/>
  <c r="W209" i="3"/>
  <c r="Z301" i="3" l="1"/>
  <c r="X301" i="3" s="1"/>
  <c r="W300" i="3"/>
  <c r="X367" i="8"/>
  <c r="X302" i="3"/>
  <c r="X372" i="8" s="1"/>
  <c r="M303" i="3"/>
  <c r="Z303" i="3" s="1"/>
  <c r="E380" i="3"/>
  <c r="G380" i="3" s="1"/>
  <c r="H380" i="3" s="1"/>
  <c r="J304" i="3"/>
  <c r="X151" i="8"/>
  <c r="X369" i="8" l="1"/>
  <c r="W301" i="3"/>
  <c r="X303" i="3"/>
  <c r="X374" i="8" s="1"/>
  <c r="M304" i="3"/>
  <c r="Z304" i="3" s="1"/>
  <c r="D380" i="3"/>
  <c r="R372" i="8"/>
  <c r="W302" i="3"/>
  <c r="AQ379" i="8"/>
  <c r="W211" i="3"/>
  <c r="X288" i="3"/>
  <c r="P372" i="8" l="1"/>
  <c r="N72" i="15"/>
  <c r="X304" i="3"/>
  <c r="X376" i="8" s="1"/>
  <c r="N151" i="14"/>
  <c r="X339" i="8"/>
  <c r="W288" i="3"/>
  <c r="V372" i="8"/>
  <c r="AM72" i="15"/>
  <c r="AM151" i="14"/>
  <c r="AF151" i="14"/>
  <c r="AF72" i="15"/>
  <c r="W303" i="3"/>
  <c r="J305" i="3"/>
  <c r="Y305" i="3" s="1"/>
  <c r="X153" i="8"/>
  <c r="X155" i="8"/>
  <c r="W304" i="3" l="1"/>
  <c r="J307" i="3"/>
  <c r="AQ383" i="8"/>
  <c r="AQ381" i="8"/>
  <c r="J306" i="3"/>
  <c r="W213" i="3"/>
  <c r="W212" i="3"/>
  <c r="X158" i="8"/>
  <c r="E381" i="3" l="1"/>
  <c r="G381" i="3" s="1"/>
  <c r="H381" i="3" s="1"/>
  <c r="M305" i="3"/>
  <c r="Z305" i="3" s="1"/>
  <c r="D381" i="3"/>
  <c r="N73" i="15" s="1"/>
  <c r="AQ386" i="8"/>
  <c r="W214" i="3"/>
  <c r="X162" i="8"/>
  <c r="R379" i="8" l="1"/>
  <c r="AF73" i="15"/>
  <c r="AF152" i="14"/>
  <c r="M306" i="3"/>
  <c r="Z306" i="3" s="1"/>
  <c r="X305" i="3"/>
  <c r="P379" i="8"/>
  <c r="N152" i="14"/>
  <c r="X393" i="8"/>
  <c r="J308" i="3"/>
  <c r="AQ390" i="8"/>
  <c r="W216" i="3"/>
  <c r="X289" i="3"/>
  <c r="X160" i="8"/>
  <c r="W305" i="3" l="1"/>
  <c r="X379" i="8"/>
  <c r="M307" i="3"/>
  <c r="X306" i="3"/>
  <c r="X341" i="8"/>
  <c r="W289" i="3"/>
  <c r="V379" i="8"/>
  <c r="AM73" i="15"/>
  <c r="AM152" i="14"/>
  <c r="W311" i="3"/>
  <c r="J310" i="3"/>
  <c r="AQ388" i="8"/>
  <c r="J309" i="3"/>
  <c r="W215" i="3"/>
  <c r="X165" i="8" s="1"/>
  <c r="X167" i="8"/>
  <c r="Z307" i="3" l="1"/>
  <c r="X307" i="3" s="1"/>
  <c r="W306" i="3"/>
  <c r="X381" i="8"/>
  <c r="E382" i="3"/>
  <c r="G382" i="3" s="1"/>
  <c r="H382" i="3" s="1"/>
  <c r="M308" i="3"/>
  <c r="Z308" i="3" s="1"/>
  <c r="D382" i="3"/>
  <c r="N74" i="15" s="1"/>
  <c r="W218" i="3"/>
  <c r="X172" i="8" s="1"/>
  <c r="W217" i="3"/>
  <c r="X169" i="8" s="1"/>
  <c r="X174" i="8"/>
  <c r="X292" i="3"/>
  <c r="X383" i="8" l="1"/>
  <c r="W307" i="3"/>
  <c r="R386" i="8"/>
  <c r="AF74" i="15"/>
  <c r="AF153" i="14"/>
  <c r="M309" i="3"/>
  <c r="Z309" i="3" s="1"/>
  <c r="X308" i="3"/>
  <c r="X348" i="8"/>
  <c r="W292" i="3"/>
  <c r="V400" i="8"/>
  <c r="AM155" i="14"/>
  <c r="P386" i="8"/>
  <c r="N153" i="14"/>
  <c r="W219" i="3"/>
  <c r="W221" i="3"/>
  <c r="X179" i="8" s="1"/>
  <c r="W220" i="3"/>
  <c r="X176" i="8" s="1"/>
  <c r="X291" i="3"/>
  <c r="X293" i="3"/>
  <c r="X181" i="8"/>
  <c r="W308" i="3" l="1"/>
  <c r="X386" i="8"/>
  <c r="M310" i="3"/>
  <c r="X309" i="3"/>
  <c r="X346" i="8"/>
  <c r="W291" i="3"/>
  <c r="X351" i="8"/>
  <c r="W293" i="3"/>
  <c r="V407" i="8"/>
  <c r="AM156" i="14"/>
  <c r="V393" i="8"/>
  <c r="AM154" i="14"/>
  <c r="W224" i="3"/>
  <c r="X186" i="8" s="1"/>
  <c r="W222" i="3"/>
  <c r="W223" i="3"/>
  <c r="X183" i="8" s="1"/>
  <c r="X188" i="8"/>
  <c r="X290" i="3"/>
  <c r="Z310" i="3" l="1"/>
  <c r="X310" i="3" s="1"/>
  <c r="W309" i="3"/>
  <c r="X388" i="8"/>
  <c r="X344" i="8"/>
  <c r="W290" i="3"/>
  <c r="V386" i="8"/>
  <c r="AM153" i="14"/>
  <c r="AM74" i="15"/>
  <c r="W227" i="3"/>
  <c r="X193" i="8" s="1"/>
  <c r="W225" i="3"/>
  <c r="W226" i="3"/>
  <c r="X190" i="8" s="1"/>
  <c r="X195" i="8"/>
  <c r="X390" i="8" l="1"/>
  <c r="W310" i="3"/>
  <c r="W230" i="3"/>
  <c r="X200" i="8" s="1"/>
  <c r="W228" i="3"/>
  <c r="W229" i="3"/>
  <c r="X197" i="8" s="1"/>
  <c r="X202" i="8"/>
  <c r="W231" i="3" l="1"/>
  <c r="W233" i="3"/>
  <c r="X207" i="8" s="1"/>
  <c r="W232" i="3"/>
  <c r="X204" i="8" s="1"/>
  <c r="X209" i="8"/>
  <c r="W236" i="3" l="1"/>
  <c r="X214" i="8" s="1"/>
  <c r="W234" i="3"/>
  <c r="W235" i="3"/>
  <c r="X211" i="8" s="1"/>
  <c r="X216" i="8"/>
  <c r="W239" i="3" l="1"/>
  <c r="X221" i="8" s="1"/>
  <c r="W237" i="3"/>
  <c r="W238" i="3"/>
  <c r="X218" i="8" s="1"/>
  <c r="X223" i="8"/>
  <c r="W242" i="3" l="1"/>
  <c r="X228" i="8" s="1"/>
  <c r="W240" i="3"/>
  <c r="W241" i="3"/>
  <c r="X225" i="8" s="1"/>
  <c r="X230" i="8"/>
  <c r="W245" i="3" l="1"/>
  <c r="X235" i="8" s="1"/>
  <c r="W243" i="3"/>
  <c r="W244" i="3"/>
  <c r="X232" i="8" s="1"/>
  <c r="X237" i="8"/>
  <c r="W248" i="3" l="1"/>
  <c r="X242" i="8" s="1"/>
  <c r="W246" i="3"/>
  <c r="W247" i="3"/>
  <c r="X239" i="8" s="1"/>
  <c r="X244" i="8"/>
  <c r="W249" i="3" l="1"/>
  <c r="W251" i="3"/>
  <c r="X249" i="8" s="1"/>
  <c r="W250" i="3"/>
  <c r="X246" i="8" s="1"/>
  <c r="X251" i="8"/>
  <c r="W254" i="3" l="1"/>
  <c r="X256" i="8" s="1"/>
  <c r="W253" i="3"/>
  <c r="X253" i="8" s="1"/>
  <c r="W252" i="3"/>
  <c r="X258" i="8"/>
  <c r="W257" i="3" l="1"/>
  <c r="X263" i="8" s="1"/>
  <c r="W255" i="3"/>
  <c r="W256" i="3"/>
  <c r="X260" i="8" s="1"/>
  <c r="X265" i="8"/>
  <c r="W260" i="3" l="1"/>
  <c r="X270" i="8" s="1"/>
  <c r="W258" i="3"/>
  <c r="W259" i="3"/>
  <c r="X267" i="8" s="1"/>
  <c r="X272" i="8"/>
  <c r="W263" i="3" l="1"/>
  <c r="X277" i="8" s="1"/>
  <c r="W261" i="3"/>
  <c r="W262" i="3"/>
  <c r="X274" i="8" s="1"/>
  <c r="X279" i="8"/>
  <c r="W264" i="3" l="1"/>
  <c r="W266" i="3"/>
  <c r="X284" i="8" s="1"/>
  <c r="W265" i="3"/>
  <c r="X281" i="8" s="1"/>
  <c r="X286" i="8"/>
  <c r="W269" i="3" l="1"/>
  <c r="X291" i="8" s="1"/>
  <c r="W267" i="3"/>
  <c r="W268" i="3"/>
  <c r="X288" i="8" s="1"/>
  <c r="X293" i="8"/>
  <c r="W272" i="3" l="1"/>
  <c r="X298" i="8" s="1"/>
  <c r="W270" i="3"/>
  <c r="W271" i="3"/>
  <c r="X295" i="8" s="1"/>
  <c r="X300" i="8"/>
  <c r="W273" i="3" l="1"/>
  <c r="W275" i="3"/>
  <c r="W274" i="3"/>
  <c r="X302" i="8" s="1"/>
  <c r="W276" i="3" l="1"/>
  <c r="M281" i="3" l="1"/>
  <c r="F373" i="3" l="1"/>
  <c r="G373" i="3" s="1"/>
  <c r="H373" i="3" s="1"/>
  <c r="M282" i="3"/>
  <c r="Z282" i="3" s="1"/>
  <c r="J281" i="3"/>
  <c r="J323" i="8" s="1"/>
  <c r="Z281" i="3" l="1"/>
  <c r="AM27" i="18"/>
  <c r="R72" i="1"/>
  <c r="X4" i="15"/>
  <c r="X4" i="14"/>
  <c r="Y281" i="3"/>
  <c r="M283" i="3"/>
  <c r="X282" i="3"/>
  <c r="AA74" i="1" s="1"/>
  <c r="D373" i="3"/>
  <c r="R323" i="8"/>
  <c r="Z283" i="3" l="1"/>
  <c r="X283" i="3" s="1"/>
  <c r="AA76" i="1" s="1"/>
  <c r="N27" i="18"/>
  <c r="N29" i="18" s="1"/>
  <c r="X3" i="18" s="1"/>
  <c r="P72" i="1"/>
  <c r="AM29" i="18"/>
  <c r="V72" i="1"/>
  <c r="X325" i="8"/>
  <c r="W282" i="3"/>
  <c r="AM65" i="15"/>
  <c r="AM75" i="15" s="1"/>
  <c r="X281" i="3"/>
  <c r="AA72" i="1" s="1"/>
  <c r="N144" i="14"/>
  <c r="N174" i="14" s="1"/>
  <c r="X3" i="14" s="1"/>
  <c r="N65" i="15"/>
  <c r="V323" i="8"/>
  <c r="AM144" i="14"/>
  <c r="AM174" i="14" s="1"/>
  <c r="Y373" i="3"/>
  <c r="P323" i="8"/>
  <c r="Z373" i="3"/>
  <c r="X327" i="8" l="1"/>
  <c r="W283" i="3"/>
  <c r="N75" i="15"/>
  <c r="X3" i="15" s="1"/>
  <c r="X373" i="3"/>
  <c r="X323" i="8"/>
  <c r="W281" i="3"/>
  <c r="W373" i="3" l="1"/>
  <c r="F1"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<sst xmlns="http://schemas.openxmlformats.org/spreadsheetml/2006/main" count="3328" uniqueCount="585">
  <si>
    <t>非表示</t>
  </si>
  <si>
    <t>ラジオボタン・チェックボックス</t>
  </si>
  <si>
    <t>【注意】このExcelの申請様式は１０事業場、合計台数１０台までの申請に対応しています。</t>
  </si>
  <si>
    <t>　　　　 １１事業場以上、１１台以上申請する場合は、Wordの申請様式をご使用ください。</t>
  </si>
  <si>
    <t>※</t>
  </si>
  <si>
    <t>※の箇所は必須項目です。入力漏れがないよう注意してください。</t>
  </si>
  <si>
    <t>←のような灰色のセルは入力不要です。</t>
    <phoneticPr fontId="6"/>
  </si>
  <si>
    <t>←のような緑色のセルは自動表示の為、入力不要です。</t>
  </si>
  <si>
    <t>郵便番号</t>
  </si>
  <si>
    <t>-</t>
  </si>
  <si>
    <t>都道府県</t>
  </si>
  <si>
    <t>　プルダウンで選択してください。</t>
  </si>
  <si>
    <t>　例)東京都</t>
  </si>
  <si>
    <t>市区町村</t>
  </si>
  <si>
    <t>　例)千代田区</t>
  </si>
  <si>
    <t>町名地番</t>
  </si>
  <si>
    <t>　例)○○1-2</t>
    <phoneticPr fontId="6"/>
  </si>
  <si>
    <t>地番は略式表記</t>
  </si>
  <si>
    <t>建物名称</t>
  </si>
  <si>
    <t>　例)△△ビル3F</t>
    <phoneticPr fontId="6"/>
  </si>
  <si>
    <t>階数はF表記</t>
  </si>
  <si>
    <t>事業場数</t>
  </si>
  <si>
    <t>■事業場１の事業場情報</t>
    <rPh sb="6" eb="9">
      <t>ジギョウバ</t>
    </rPh>
    <rPh sb="9" eb="11">
      <t>ジョウホウ</t>
    </rPh>
    <phoneticPr fontId="6"/>
  </si>
  <si>
    <t>事業場名</t>
  </si>
  <si>
    <t>■</t>
  </si>
  <si>
    <t>事業場１</t>
    <rPh sb="0" eb="3">
      <t>ジギョウバ</t>
    </rPh>
    <phoneticPr fontId="6"/>
  </si>
  <si>
    <t>メーカー名</t>
  </si>
  <si>
    <t>名称・型式</t>
  </si>
  <si>
    <t>品番</t>
  </si>
  <si>
    <t>※</t>
    <phoneticPr fontId="6"/>
  </si>
  <si>
    <t>　※内訳の各項目に金額（税抜）を入力すると、事業場1の申請金額が自動で計算されます。</t>
    <rPh sb="12" eb="14">
      <t>ゼイヌキ</t>
    </rPh>
    <phoneticPr fontId="6"/>
  </si>
  <si>
    <t>※灰色のセルに入力したものは、合計額に反映されません。</t>
    <phoneticPr fontId="6"/>
  </si>
  <si>
    <t>補助事業に
要する経費</t>
    <phoneticPr fontId="6"/>
  </si>
  <si>
    <t>情報端末価格</t>
  </si>
  <si>
    <t>補助事業に要する経費</t>
  </si>
  <si>
    <t>補助対象
経費</t>
  </si>
  <si>
    <t>補助率</t>
  </si>
  <si>
    <t>補助金の額</t>
  </si>
  <si>
    <t>機器入力有</t>
    <rPh sb="0" eb="2">
      <t>キキ</t>
    </rPh>
    <rPh sb="2" eb="4">
      <t>ニュウリョク</t>
    </rPh>
    <rPh sb="4" eb="5">
      <t>アリ</t>
    </rPh>
    <phoneticPr fontId="6"/>
  </si>
  <si>
    <t>要する経費入力可</t>
    <rPh sb="0" eb="1">
      <t>ヨウ</t>
    </rPh>
    <rPh sb="3" eb="5">
      <t>ケイヒ</t>
    </rPh>
    <rPh sb="5" eb="8">
      <t>ニュウリョクカ</t>
    </rPh>
    <phoneticPr fontId="6"/>
  </si>
  <si>
    <t>1/3以内</t>
  </si>
  <si>
    <t>事業場２以降はこちらで入力してください。</t>
    <phoneticPr fontId="6"/>
  </si>
  <si>
    <t>神奈川県</t>
  </si>
  <si>
    <t>入力は以上となります。ありがとうございました。
右側に赤い文字で入力エラーが表示されていないか確認してください。</t>
    <phoneticPr fontId="6"/>
  </si>
  <si>
    <t>非表示</t>
    <rPh sb="0" eb="3">
      <t>ヒヒョウジ</t>
    </rPh>
    <phoneticPr fontId="6"/>
  </si>
  <si>
    <t>※セルが赤くなった場合は、そのセルに入力エラーがあります。右側のエラーメッセージをご確認ください。</t>
    <rPh sb="4" eb="5">
      <t>アカ</t>
    </rPh>
    <rPh sb="9" eb="11">
      <t>バアイ</t>
    </rPh>
    <rPh sb="18" eb="20">
      <t>ニュウリョク</t>
    </rPh>
    <rPh sb="29" eb="31">
      <t>ミギガワ</t>
    </rPh>
    <rPh sb="42" eb="44">
      <t>カクニン</t>
    </rPh>
    <phoneticPr fontId="6"/>
  </si>
  <si>
    <t>※赤いセルが複数ある場合は、一番左のセルのエラーメッセージが表示されます。そのセルのエラーを解消すると、次のエラーメッセージが表示されます。</t>
    <rPh sb="1" eb="2">
      <t>アカ</t>
    </rPh>
    <rPh sb="6" eb="8">
      <t>フクスウ</t>
    </rPh>
    <rPh sb="10" eb="12">
      <t>バアイ</t>
    </rPh>
    <rPh sb="14" eb="16">
      <t>イチバン</t>
    </rPh>
    <rPh sb="16" eb="17">
      <t>ヒダリ</t>
    </rPh>
    <rPh sb="30" eb="32">
      <t>ヒョウジ</t>
    </rPh>
    <rPh sb="46" eb="48">
      <t>カイショウ</t>
    </rPh>
    <rPh sb="52" eb="53">
      <t>ツギ</t>
    </rPh>
    <rPh sb="63" eb="65">
      <t>ヒョウジ</t>
    </rPh>
    <phoneticPr fontId="6"/>
  </si>
  <si>
    <t>-</t>
    <phoneticPr fontId="6"/>
  </si>
  <si>
    <t>事業場２</t>
    <rPh sb="0" eb="3">
      <t>ジギョウバ</t>
    </rPh>
    <phoneticPr fontId="6"/>
  </si>
  <si>
    <t>事業場３</t>
    <rPh sb="0" eb="3">
      <t>ジギョウバ</t>
    </rPh>
    <phoneticPr fontId="6"/>
  </si>
  <si>
    <t>事業場４</t>
    <rPh sb="0" eb="3">
      <t>ジギョウバ</t>
    </rPh>
    <phoneticPr fontId="6"/>
  </si>
  <si>
    <t>事業場５</t>
    <rPh sb="0" eb="3">
      <t>ジギョウバ</t>
    </rPh>
    <phoneticPr fontId="6"/>
  </si>
  <si>
    <t>事業場６</t>
    <rPh sb="0" eb="3">
      <t>ジギョウバ</t>
    </rPh>
    <phoneticPr fontId="6"/>
  </si>
  <si>
    <t>事業場７</t>
    <rPh sb="0" eb="3">
      <t>ジギョウバ</t>
    </rPh>
    <phoneticPr fontId="6"/>
  </si>
  <si>
    <t>事業場８</t>
    <rPh sb="0" eb="3">
      <t>ジギョウバ</t>
    </rPh>
    <phoneticPr fontId="6"/>
  </si>
  <si>
    <t>事業場９</t>
    <rPh sb="0" eb="3">
      <t>ジギョウバ</t>
    </rPh>
    <phoneticPr fontId="6"/>
  </si>
  <si>
    <t>事業場１０</t>
    <rPh sb="0" eb="3">
      <t>ジギョウバ</t>
    </rPh>
    <phoneticPr fontId="6"/>
  </si>
  <si>
    <t>事業場１１</t>
    <rPh sb="0" eb="3">
      <t>ジギョウバ</t>
    </rPh>
    <phoneticPr fontId="6"/>
  </si>
  <si>
    <t>事業場１２</t>
    <rPh sb="0" eb="3">
      <t>ジギョウバ</t>
    </rPh>
    <phoneticPr fontId="6"/>
  </si>
  <si>
    <t>事業場１３</t>
    <rPh sb="0" eb="3">
      <t>ジギョウバ</t>
    </rPh>
    <phoneticPr fontId="6"/>
  </si>
  <si>
    <t>事業場１４</t>
    <rPh sb="0" eb="3">
      <t>ジギョウバ</t>
    </rPh>
    <phoneticPr fontId="6"/>
  </si>
  <si>
    <t>事業場１５</t>
    <rPh sb="0" eb="3">
      <t>ジギョウバ</t>
    </rPh>
    <phoneticPr fontId="6"/>
  </si>
  <si>
    <t>事業場１６</t>
    <rPh sb="0" eb="3">
      <t>ジギョウバ</t>
    </rPh>
    <phoneticPr fontId="6"/>
  </si>
  <si>
    <t>事業場１７</t>
    <rPh sb="0" eb="3">
      <t>ジギョウバ</t>
    </rPh>
    <phoneticPr fontId="6"/>
  </si>
  <si>
    <t>事業場１８</t>
    <rPh sb="0" eb="3">
      <t>ジギョウバ</t>
    </rPh>
    <phoneticPr fontId="6"/>
  </si>
  <si>
    <t>事業場１９</t>
    <rPh sb="0" eb="3">
      <t>ジギョウバ</t>
    </rPh>
    <phoneticPr fontId="6"/>
  </si>
  <si>
    <t>事業場２０</t>
    <rPh sb="0" eb="3">
      <t>ジギョウバ</t>
    </rPh>
    <phoneticPr fontId="6"/>
  </si>
  <si>
    <t>事業場２１</t>
    <rPh sb="0" eb="3">
      <t>ジギョウバ</t>
    </rPh>
    <phoneticPr fontId="6"/>
  </si>
  <si>
    <t>事業場２２</t>
    <rPh sb="0" eb="3">
      <t>ジギョウバ</t>
    </rPh>
    <phoneticPr fontId="6"/>
  </si>
  <si>
    <t>事業場２３</t>
    <rPh sb="0" eb="3">
      <t>ジギョウバ</t>
    </rPh>
    <phoneticPr fontId="6"/>
  </si>
  <si>
    <t>事業場２４</t>
    <rPh sb="0" eb="3">
      <t>ジギョウバ</t>
    </rPh>
    <phoneticPr fontId="6"/>
  </si>
  <si>
    <t>事業場２５</t>
    <rPh sb="0" eb="3">
      <t>ジギョウバ</t>
    </rPh>
    <phoneticPr fontId="6"/>
  </si>
  <si>
    <t>事業場２６</t>
    <rPh sb="0" eb="3">
      <t>ジギョウバ</t>
    </rPh>
    <phoneticPr fontId="6"/>
  </si>
  <si>
    <t>事業場２７</t>
    <rPh sb="0" eb="3">
      <t>ジギョウバ</t>
    </rPh>
    <phoneticPr fontId="6"/>
  </si>
  <si>
    <t>事業場２８</t>
    <rPh sb="0" eb="3">
      <t>ジギョウバ</t>
    </rPh>
    <phoneticPr fontId="6"/>
  </si>
  <si>
    <t>事業場２９</t>
    <rPh sb="0" eb="3">
      <t>ジギョウバ</t>
    </rPh>
    <phoneticPr fontId="6"/>
  </si>
  <si>
    <t>事業場３０</t>
    <rPh sb="0" eb="3">
      <t>ジギョウバ</t>
    </rPh>
    <phoneticPr fontId="6"/>
  </si>
  <si>
    <t>上へ戻る▲（ジャンプします）</t>
    <rPh sb="0" eb="1">
      <t>ウエ</t>
    </rPh>
    <rPh sb="2" eb="3">
      <t>モド</t>
    </rPh>
    <phoneticPr fontId="6"/>
  </si>
  <si>
    <t>掲載有無</t>
    <rPh sb="0" eb="2">
      <t>ケイサイ</t>
    </rPh>
    <rPh sb="2" eb="4">
      <t>ウム</t>
    </rPh>
    <phoneticPr fontId="6"/>
  </si>
  <si>
    <t/>
  </si>
  <si>
    <t>※内訳の各項目に金額（税抜）を入力すると、事業場毎の申請金額が自動で計算されます。</t>
    <phoneticPr fontId="6"/>
  </si>
  <si>
    <t>※灰色のセルに入力したものは、合計額に反映されません。</t>
  </si>
  <si>
    <t>形態番号</t>
    <rPh sb="0" eb="4">
      <t>ケイタイバンゴウ</t>
    </rPh>
    <phoneticPr fontId="6"/>
  </si>
  <si>
    <t>（様式第１）</t>
  </si>
  <si>
    <t>２．補助金交付申請額</t>
  </si>
  <si>
    <t>　（１）補助事業に要する経費の総額</t>
    <phoneticPr fontId="13"/>
  </si>
  <si>
    <t>円</t>
    <rPh sb="0" eb="1">
      <t>エン</t>
    </rPh>
    <phoneticPr fontId="6"/>
  </si>
  <si>
    <t>　（２）補助対象経費の総額</t>
    <phoneticPr fontId="13"/>
  </si>
  <si>
    <t>（別紙１）</t>
  </si>
  <si>
    <t>事業場</t>
  </si>
  <si>
    <t>設備を設置する事業場名</t>
  </si>
  <si>
    <t>所在地（現住所）</t>
  </si>
  <si>
    <t>事業場1</t>
    <phoneticPr fontId="13"/>
  </si>
  <si>
    <t>〒</t>
    <phoneticPr fontId="6"/>
  </si>
  <si>
    <t>事業場2</t>
    <phoneticPr fontId="13"/>
  </si>
  <si>
    <t>順位</t>
    <rPh sb="0" eb="2">
      <t>ジュンイ</t>
    </rPh>
    <phoneticPr fontId="6"/>
  </si>
  <si>
    <t>事業場No</t>
    <rPh sb="0" eb="3">
      <t>ジギョウバ</t>
    </rPh>
    <phoneticPr fontId="6"/>
  </si>
  <si>
    <t>掲載有無</t>
    <rPh sb="0" eb="4">
      <t>ケイサイウム</t>
    </rPh>
    <phoneticPr fontId="6"/>
  </si>
  <si>
    <t>コード</t>
    <phoneticPr fontId="6"/>
  </si>
  <si>
    <t>事業場</t>
    <phoneticPr fontId="6"/>
  </si>
  <si>
    <t>（注）</t>
    <phoneticPr fontId="6"/>
  </si>
  <si>
    <t>【補助事業に要する経費、補助対象経費、補助金の額】</t>
    <phoneticPr fontId="13"/>
  </si>
  <si>
    <t>（単位：円）</t>
    <phoneticPr fontId="13"/>
  </si>
  <si>
    <t>内訳</t>
  </si>
  <si>
    <t>補助対象経費</t>
  </si>
  <si>
    <t>１／３以内</t>
  </si>
  <si>
    <t>合　計</t>
    <rPh sb="0" eb="1">
      <t>ゴウ</t>
    </rPh>
    <rPh sb="2" eb="3">
      <t>ケイ</t>
    </rPh>
    <phoneticPr fontId="6"/>
  </si>
  <si>
    <t>（注）</t>
  </si>
  <si>
    <t>事業場3</t>
  </si>
  <si>
    <t>事業場4</t>
  </si>
  <si>
    <t>事業場5</t>
  </si>
  <si>
    <t>事業場6</t>
  </si>
  <si>
    <t>事業場7</t>
  </si>
  <si>
    <t>事業場8</t>
  </si>
  <si>
    <t>事業場9</t>
  </si>
  <si>
    <t>事業場10</t>
  </si>
  <si>
    <t>申請事業場</t>
    <rPh sb="0" eb="2">
      <t>シンセイ</t>
    </rPh>
    <rPh sb="2" eb="5">
      <t>ジギョウバ</t>
    </rPh>
    <phoneticPr fontId="6"/>
  </si>
  <si>
    <t>事業場11</t>
  </si>
  <si>
    <t>事業場12</t>
  </si>
  <si>
    <t>事業場13</t>
  </si>
  <si>
    <t>事業場14</t>
  </si>
  <si>
    <t>事業場15</t>
  </si>
  <si>
    <t>事業場16</t>
  </si>
  <si>
    <t>事業場17</t>
  </si>
  <si>
    <t>事業場18</t>
  </si>
  <si>
    <t>事業場19</t>
  </si>
  <si>
    <t>事業場20</t>
  </si>
  <si>
    <t>事業場21</t>
  </si>
  <si>
    <t>事業場22</t>
  </si>
  <si>
    <t>事業場23</t>
  </si>
  <si>
    <t>事業場24</t>
  </si>
  <si>
    <t>事業場25</t>
  </si>
  <si>
    <t>事業場26</t>
  </si>
  <si>
    <t>事業場27</t>
  </si>
  <si>
    <t>事業場28</t>
  </si>
  <si>
    <t>事業場29</t>
  </si>
  <si>
    <t>事業場30</t>
  </si>
  <si>
    <t>全体OK・NG</t>
    <rPh sb="0" eb="2">
      <t>ゼンタイ</t>
    </rPh>
    <phoneticPr fontId="7"/>
  </si>
  <si>
    <t>システムの方ここで確認お願いします→</t>
    <rPh sb="5" eb="6">
      <t>カタ</t>
    </rPh>
    <rPh sb="9" eb="11">
      <t>カクニン</t>
    </rPh>
    <rPh sb="12" eb="13">
      <t>ネガ</t>
    </rPh>
    <phoneticPr fontId="7"/>
  </si>
  <si>
    <t>エラーなし→</t>
    <phoneticPr fontId="7"/>
  </si>
  <si>
    <t>OK</t>
    <phoneticPr fontId="7"/>
  </si>
  <si>
    <t>全てOKかどれかNGか集計</t>
    <rPh sb="0" eb="1">
      <t>スベ</t>
    </rPh>
    <rPh sb="11" eb="13">
      <t>シュウケイ</t>
    </rPh>
    <phoneticPr fontId="7"/>
  </si>
  <si>
    <t>入力シート表示</t>
    <rPh sb="0" eb="2">
      <t>ニュウリョク</t>
    </rPh>
    <rPh sb="5" eb="7">
      <t>ヒョウジ</t>
    </rPh>
    <phoneticPr fontId="7"/>
  </si>
  <si>
    <t>空欄チェック</t>
    <rPh sb="0" eb="2">
      <t>クウラン</t>
    </rPh>
    <phoneticPr fontId="7"/>
  </si>
  <si>
    <t>エラーチェック</t>
    <phoneticPr fontId="7"/>
  </si>
  <si>
    <t>エラーメッセージ</t>
    <phoneticPr fontId="7"/>
  </si>
  <si>
    <t>入力項目</t>
    <rPh sb="0" eb="2">
      <t>ニュウリョク</t>
    </rPh>
    <rPh sb="2" eb="4">
      <t>コウモク</t>
    </rPh>
    <phoneticPr fontId="7"/>
  </si>
  <si>
    <t>作業列1</t>
    <rPh sb="0" eb="3">
      <t>サギョウレツ</t>
    </rPh>
    <phoneticPr fontId="7"/>
  </si>
  <si>
    <t>作業列2</t>
    <rPh sb="0" eb="3">
      <t>サギョウレツ</t>
    </rPh>
    <phoneticPr fontId="7"/>
  </si>
  <si>
    <t>DBインポート情報（オレンジのセル）</t>
    <rPh sb="7" eb="9">
      <t>ジョウホウ</t>
    </rPh>
    <phoneticPr fontId="7"/>
  </si>
  <si>
    <t>メッセージ</t>
  </si>
  <si>
    <t>1:エラー</t>
    <phoneticPr fontId="7"/>
  </si>
  <si>
    <t>2:エラー</t>
  </si>
  <si>
    <t>3:エラー</t>
  </si>
  <si>
    <t>-</t>
    <phoneticPr fontId="7"/>
  </si>
  <si>
    <t>事業場情報</t>
    <rPh sb="0" eb="3">
      <t>ジギョウバ</t>
    </rPh>
    <rPh sb="3" eb="5">
      <t>ジョウホウ</t>
    </rPh>
    <phoneticPr fontId="7"/>
  </si>
  <si>
    <t>申請事業場</t>
    <rPh sb="0" eb="2">
      <t>シンセイ</t>
    </rPh>
    <rPh sb="2" eb="5">
      <t>ジギョウバ</t>
    </rPh>
    <phoneticPr fontId="7"/>
  </si>
  <si>
    <t>事業場</t>
    <rPh sb="0" eb="3">
      <t>ジギョウバ</t>
    </rPh>
    <phoneticPr fontId="7"/>
  </si>
  <si>
    <t>様式判定</t>
    <rPh sb="0" eb="2">
      <t>ヨウシキ</t>
    </rPh>
    <rPh sb="2" eb="4">
      <t>ハンテイ</t>
    </rPh>
    <phoneticPr fontId="7"/>
  </si>
  <si>
    <t>申請する機器</t>
    <rPh sb="0" eb="2">
      <t>シンセイ</t>
    </rPh>
    <rPh sb="4" eb="6">
      <t>キキ</t>
    </rPh>
    <phoneticPr fontId="7"/>
  </si>
  <si>
    <t>フラグ</t>
    <phoneticPr fontId="7"/>
  </si>
  <si>
    <t>掲載されている</t>
    <rPh sb="0" eb="2">
      <t>ケイサイ</t>
    </rPh>
    <phoneticPr fontId="7"/>
  </si>
  <si>
    <t>作業列</t>
    <rPh sb="0" eb="2">
      <t>サギョウ</t>
    </rPh>
    <rPh sb="2" eb="3">
      <t>レツ</t>
    </rPh>
    <phoneticPr fontId="7"/>
  </si>
  <si>
    <t>台目</t>
    <rPh sb="0" eb="2">
      <t>ダイメ</t>
    </rPh>
    <phoneticPr fontId="7"/>
  </si>
  <si>
    <t>掲載有無(掲載=1未掲載=2)</t>
    <rPh sb="0" eb="2">
      <t>ケイサイ</t>
    </rPh>
    <rPh sb="2" eb="4">
      <t>ウム</t>
    </rPh>
    <rPh sb="5" eb="7">
      <t>ケイサイ</t>
    </rPh>
    <rPh sb="9" eb="12">
      <t>ミケイサイ</t>
    </rPh>
    <phoneticPr fontId="7"/>
  </si>
  <si>
    <t>コード番号</t>
  </si>
  <si>
    <t>番号1</t>
    <rPh sb="0" eb="2">
      <t>バンゴウ</t>
    </rPh>
    <phoneticPr fontId="13"/>
  </si>
  <si>
    <t>番号2</t>
    <rPh sb="0" eb="2">
      <t>バンゴウ</t>
    </rPh>
    <phoneticPr fontId="13"/>
  </si>
  <si>
    <t>番号3</t>
    <rPh sb="0" eb="2">
      <t>バンゴウ</t>
    </rPh>
    <phoneticPr fontId="13"/>
  </si>
  <si>
    <t>番号4</t>
    <rPh sb="0" eb="2">
      <t>バンゴウ</t>
    </rPh>
    <phoneticPr fontId="13"/>
  </si>
  <si>
    <t>ソフトの
バージョン</t>
  </si>
  <si>
    <t>形態番号</t>
    <rPh sb="0" eb="4">
      <t>ケイタイバンゴウ</t>
    </rPh>
    <phoneticPr fontId="7"/>
  </si>
  <si>
    <t>1:空欄</t>
    <rPh sb="2" eb="4">
      <t>クウラン</t>
    </rPh>
    <phoneticPr fontId="7"/>
  </si>
  <si>
    <t>2:空欄</t>
    <rPh sb="2" eb="4">
      <t>クウラン</t>
    </rPh>
    <phoneticPr fontId="7"/>
  </si>
  <si>
    <t>3:空欄</t>
    <rPh sb="2" eb="4">
      <t>クウラン</t>
    </rPh>
    <phoneticPr fontId="7"/>
  </si>
  <si>
    <t>入力有</t>
    <rPh sb="0" eb="3">
      <t>ニュウリョクアリ</t>
    </rPh>
    <phoneticPr fontId="7"/>
  </si>
  <si>
    <t>順位</t>
    <rPh sb="0" eb="2">
      <t>ジュンイ</t>
    </rPh>
    <phoneticPr fontId="7"/>
  </si>
  <si>
    <t>掲載有無</t>
    <rPh sb="0" eb="4">
      <t>ケイサイウム</t>
    </rPh>
    <phoneticPr fontId="7"/>
  </si>
  <si>
    <t>機器(事業場)</t>
    <rPh sb="0" eb="2">
      <t>キキ</t>
    </rPh>
    <rPh sb="3" eb="6">
      <t>ジギョウバ</t>
    </rPh>
    <phoneticPr fontId="7"/>
  </si>
  <si>
    <t>メーカー名～ソフトのバージョンを入力してください。</t>
    <rPh sb="4" eb="5">
      <t>メイ</t>
    </rPh>
    <rPh sb="16" eb="18">
      <t>ニュウリョク</t>
    </rPh>
    <phoneticPr fontId="7"/>
  </si>
  <si>
    <t>補助対象機器一覧に掲載されていないコード番号が入力されています。</t>
    <rPh sb="0" eb="8">
      <t>ホジョタイショウキキイチラン</t>
    </rPh>
    <rPh sb="9" eb="11">
      <t>ケイサイ</t>
    </rPh>
    <rPh sb="20" eb="22">
      <t>バンゴウ</t>
    </rPh>
    <rPh sb="23" eb="25">
      <t>ニュウリョク</t>
    </rPh>
    <phoneticPr fontId="7"/>
  </si>
  <si>
    <t>補助対象機器金額</t>
    <rPh sb="0" eb="4">
      <t>ホジョタイショウ</t>
    </rPh>
    <rPh sb="4" eb="6">
      <t>キキ</t>
    </rPh>
    <rPh sb="6" eb="8">
      <t>キンガク</t>
    </rPh>
    <phoneticPr fontId="7"/>
  </si>
  <si>
    <t>手入力</t>
    <rPh sb="0" eb="3">
      <t>テニュウリョク</t>
    </rPh>
    <phoneticPr fontId="7"/>
  </si>
  <si>
    <t>実際に集計する値</t>
    <rPh sb="0" eb="2">
      <t>ジッサイ</t>
    </rPh>
    <rPh sb="3" eb="5">
      <t>シュウケイ</t>
    </rPh>
    <rPh sb="7" eb="8">
      <t>アタイ</t>
    </rPh>
    <phoneticPr fontId="7"/>
  </si>
  <si>
    <t>要する経費入力可</t>
    <rPh sb="0" eb="1">
      <t>ヨウ</t>
    </rPh>
    <rPh sb="3" eb="5">
      <t>ケイヒ</t>
    </rPh>
    <rPh sb="5" eb="7">
      <t>ニュウリョク</t>
    </rPh>
    <rPh sb="7" eb="8">
      <t>カ</t>
    </rPh>
    <phoneticPr fontId="7"/>
  </si>
  <si>
    <t>スキャンツールの価格</t>
    <phoneticPr fontId="7"/>
  </si>
  <si>
    <t>補助対象経費計（計算用）</t>
    <rPh sb="0" eb="6">
      <t>ホジョタイショウケイヒ</t>
    </rPh>
    <rPh sb="6" eb="7">
      <t>ケイ</t>
    </rPh>
    <rPh sb="8" eb="11">
      <t>ケイサンヨウ</t>
    </rPh>
    <phoneticPr fontId="7"/>
  </si>
  <si>
    <t>4:空欄</t>
    <rPh sb="2" eb="4">
      <t>クウラン</t>
    </rPh>
    <phoneticPr fontId="7"/>
  </si>
  <si>
    <t>5:空欄</t>
    <rPh sb="2" eb="4">
      <t>クウラン</t>
    </rPh>
    <phoneticPr fontId="7"/>
  </si>
  <si>
    <t>補助事業に要する経費を入力してください。</t>
    <phoneticPr fontId="7"/>
  </si>
  <si>
    <t>補助事業に要する経費が、補助対象経費（スキャンツールの価格+情報端末価格）より少なくなっています。</t>
  </si>
  <si>
    <t>合計金額</t>
    <rPh sb="0" eb="4">
      <t>ゴウケイキンガク</t>
    </rPh>
    <phoneticPr fontId="7"/>
  </si>
  <si>
    <t>補助事業に要する経費_事業場計</t>
    <rPh sb="11" eb="14">
      <t>ジギョウバ</t>
    </rPh>
    <rPh sb="14" eb="15">
      <t>ケイ</t>
    </rPh>
    <phoneticPr fontId="7"/>
  </si>
  <si>
    <t>スキャンツールの価格_事業場計</t>
    <phoneticPr fontId="7"/>
  </si>
  <si>
    <t>情報端末価格_事業場計</t>
    <phoneticPr fontId="7"/>
  </si>
  <si>
    <t>事業場1</t>
    <rPh sb="0" eb="3">
      <t>ジギョウバ</t>
    </rPh>
    <phoneticPr fontId="7"/>
  </si>
  <si>
    <t>事業場2</t>
    <rPh sb="0" eb="3">
      <t>ジギョウバ</t>
    </rPh>
    <phoneticPr fontId="7"/>
  </si>
  <si>
    <t>事業場3</t>
    <rPh sb="0" eb="3">
      <t>ジギョウバ</t>
    </rPh>
    <phoneticPr fontId="7"/>
  </si>
  <si>
    <t>事業場4</t>
    <rPh sb="0" eb="3">
      <t>ジギョウバ</t>
    </rPh>
    <phoneticPr fontId="7"/>
  </si>
  <si>
    <t>事業場5</t>
    <rPh sb="0" eb="3">
      <t>ジギョウバ</t>
    </rPh>
    <phoneticPr fontId="7"/>
  </si>
  <si>
    <t>事業場6</t>
    <rPh sb="0" eb="3">
      <t>ジギョウバ</t>
    </rPh>
    <phoneticPr fontId="7"/>
  </si>
  <si>
    <t>事業場7</t>
    <rPh sb="0" eb="3">
      <t>ジギョウバ</t>
    </rPh>
    <phoneticPr fontId="7"/>
  </si>
  <si>
    <t>事業場8</t>
    <rPh sb="0" eb="3">
      <t>ジギョウバ</t>
    </rPh>
    <phoneticPr fontId="7"/>
  </si>
  <si>
    <t>事業場9</t>
    <rPh sb="0" eb="3">
      <t>ジギョウバ</t>
    </rPh>
    <phoneticPr fontId="7"/>
  </si>
  <si>
    <t>事業場10</t>
    <rPh sb="0" eb="3">
      <t>ジギョウバ</t>
    </rPh>
    <phoneticPr fontId="7"/>
  </si>
  <si>
    <t>事業場11</t>
    <rPh sb="0" eb="3">
      <t>ジギョウバ</t>
    </rPh>
    <phoneticPr fontId="7"/>
  </si>
  <si>
    <t>事業場12</t>
    <rPh sb="0" eb="3">
      <t>ジギョウバ</t>
    </rPh>
    <phoneticPr fontId="7"/>
  </si>
  <si>
    <t>事業場13</t>
    <rPh sb="0" eb="3">
      <t>ジギョウバ</t>
    </rPh>
    <phoneticPr fontId="7"/>
  </si>
  <si>
    <t>事業場14</t>
    <rPh sb="0" eb="3">
      <t>ジギョウバ</t>
    </rPh>
    <phoneticPr fontId="7"/>
  </si>
  <si>
    <t>事業場15</t>
    <rPh sb="0" eb="3">
      <t>ジギョウバ</t>
    </rPh>
    <phoneticPr fontId="7"/>
  </si>
  <si>
    <t>事業場16</t>
    <rPh sb="0" eb="3">
      <t>ジギョウバ</t>
    </rPh>
    <phoneticPr fontId="7"/>
  </si>
  <si>
    <t>事業場17</t>
    <rPh sb="0" eb="3">
      <t>ジギョウバ</t>
    </rPh>
    <phoneticPr fontId="7"/>
  </si>
  <si>
    <t>事業場18</t>
    <rPh sb="0" eb="3">
      <t>ジギョウバ</t>
    </rPh>
    <phoneticPr fontId="7"/>
  </si>
  <si>
    <t>事業場19</t>
    <rPh sb="0" eb="3">
      <t>ジギョウバ</t>
    </rPh>
    <phoneticPr fontId="7"/>
  </si>
  <si>
    <t>事業場20</t>
    <rPh sb="0" eb="3">
      <t>ジギョウバ</t>
    </rPh>
    <phoneticPr fontId="7"/>
  </si>
  <si>
    <t>事業場21</t>
    <rPh sb="0" eb="3">
      <t>ジギョウバ</t>
    </rPh>
    <phoneticPr fontId="7"/>
  </si>
  <si>
    <t>事業場22</t>
    <rPh sb="0" eb="3">
      <t>ジギョウバ</t>
    </rPh>
    <phoneticPr fontId="7"/>
  </si>
  <si>
    <t>事業場23</t>
    <rPh sb="0" eb="3">
      <t>ジギョウバ</t>
    </rPh>
    <phoneticPr fontId="7"/>
  </si>
  <si>
    <t>事業場24</t>
    <rPh sb="0" eb="3">
      <t>ジギョウバ</t>
    </rPh>
    <phoneticPr fontId="7"/>
  </si>
  <si>
    <t>事業場25</t>
    <rPh sb="0" eb="3">
      <t>ジギョウバ</t>
    </rPh>
    <phoneticPr fontId="7"/>
  </si>
  <si>
    <t>事業場26</t>
    <rPh sb="0" eb="3">
      <t>ジギョウバ</t>
    </rPh>
    <phoneticPr fontId="7"/>
  </si>
  <si>
    <t>事業場27</t>
    <rPh sb="0" eb="3">
      <t>ジギョウバ</t>
    </rPh>
    <phoneticPr fontId="7"/>
  </si>
  <si>
    <t>事業場28</t>
    <rPh sb="0" eb="3">
      <t>ジギョウバ</t>
    </rPh>
    <phoneticPr fontId="7"/>
  </si>
  <si>
    <t>事業場29</t>
    <rPh sb="0" eb="3">
      <t>ジギョウバ</t>
    </rPh>
    <phoneticPr fontId="7"/>
  </si>
  <si>
    <t>事業場30</t>
    <rPh sb="0" eb="3">
      <t>ジギョウバ</t>
    </rPh>
    <phoneticPr fontId="7"/>
  </si>
  <si>
    <t>都道府県</t>
    <rPh sb="0" eb="4">
      <t>トドウフケン</t>
    </rPh>
    <phoneticPr fontId="6"/>
  </si>
  <si>
    <t>数字</t>
    <rPh sb="0" eb="2">
      <t>スウジ</t>
    </rPh>
    <phoneticPr fontId="6"/>
  </si>
  <si>
    <t>対象外経費</t>
    <rPh sb="0" eb="3">
      <t>タイショウガイ</t>
    </rPh>
    <rPh sb="3" eb="5">
      <t>ケイヒ</t>
    </rPh>
    <phoneticPr fontId="6"/>
  </si>
  <si>
    <t>北海道</t>
  </si>
  <si>
    <t>青森県</t>
  </si>
  <si>
    <t>含まれていない</t>
    <rPh sb="0" eb="1">
      <t>フク</t>
    </rPh>
    <phoneticPr fontId="6"/>
  </si>
  <si>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</si>
  <si>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</si>
  <si>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</si>
  <si>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</si>
  <si>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</si>
  <si>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</si>
  <si>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</si>
  <si>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</si>
  <si>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</si>
  <si>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</si>
  <si>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</si>
  <si>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</si>
  <si>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</si>
  <si>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</si>
  <si>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</si>
  <si>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</si>
  <si>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</si>
  <si>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</si>
  <si>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</si>
  <si>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</si>
  <si>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</si>
  <si>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</si>
  <si>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</si>
  <si>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</si>
  <si>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</si>
  <si>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</si>
  <si>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</si>
  <si>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</si>
  <si>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</si>
  <si>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</si>
  <si>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</si>
  <si>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</si>
  <si>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</si>
  <si>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</si>
  <si>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</si>
  <si>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</si>
  <si>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</si>
  <si>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</si>
  <si>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</si>
  <si>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</si>
  <si>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</si>
  <si>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</si>
  <si>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</si>
  <si>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</si>
  <si>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4桁コード</t>
    <rPh sb="1" eb="2">
      <t>ケタ</t>
    </rPh>
    <phoneticPr fontId="13"/>
  </si>
  <si>
    <t>品　　番</t>
  </si>
  <si>
    <t>ソフトのバージョン</t>
  </si>
  <si>
    <t>形態</t>
    <rPh sb="0" eb="2">
      <t>ケイタイ</t>
    </rPh>
    <phoneticPr fontId="13"/>
  </si>
  <si>
    <t>出力形式</t>
    <rPh sb="0" eb="4">
      <t>シュツリョクケイシキ</t>
    </rPh>
    <phoneticPr fontId="13"/>
  </si>
  <si>
    <t>下記の１～２の文章にしたがって、各項目に情報を入力してください。</t>
    <phoneticPr fontId="6"/>
  </si>
  <si>
    <t>１．申請する事業場数を選択してください。</t>
    <phoneticPr fontId="6"/>
  </si>
  <si>
    <t>２-１．申請する事業場の情報を入力してください。</t>
    <phoneticPr fontId="6"/>
  </si>
  <si>
    <t>２-１事業場の情報を入力する▼（ジャンプします）</t>
    <rPh sb="3" eb="5">
      <t>ジギョウ</t>
    </rPh>
    <rPh sb="5" eb="6">
      <t>バ</t>
    </rPh>
    <rPh sb="7" eb="9">
      <t>ジョウホウ</t>
    </rPh>
    <rPh sb="10" eb="12">
      <t>ニュウリョク</t>
    </rPh>
    <phoneticPr fontId="6"/>
  </si>
  <si>
    <t>スキャンツール以外</t>
    <rPh sb="7" eb="9">
      <t>イガイ</t>
    </rPh>
    <phoneticPr fontId="7"/>
  </si>
  <si>
    <t>スキャンツール以外（情報端末等）の価格を入力してください。</t>
    <phoneticPr fontId="7"/>
  </si>
  <si>
    <t>Ａ単体</t>
    <rPh sb="1" eb="3">
      <t>タンタイ</t>
    </rPh>
    <phoneticPr fontId="6"/>
  </si>
  <si>
    <t>Ｂ単体</t>
    <rPh sb="1" eb="3">
      <t>タンタイ</t>
    </rPh>
    <phoneticPr fontId="6"/>
  </si>
  <si>
    <t>Ｃ単体</t>
    <rPh sb="1" eb="3">
      <t>タンタイ</t>
    </rPh>
    <phoneticPr fontId="6"/>
  </si>
  <si>
    <t>Ａ＋Ｂ</t>
    <phoneticPr fontId="6"/>
  </si>
  <si>
    <t>Ａ＋Ｃ</t>
    <phoneticPr fontId="6"/>
  </si>
  <si>
    <t>Ｂ＋Ｃ</t>
    <phoneticPr fontId="6"/>
  </si>
  <si>
    <t>Ａ＋Ｂ＋Ｃ</t>
    <phoneticPr fontId="6"/>
  </si>
  <si>
    <t>申請番号</t>
    <rPh sb="0" eb="4">
      <t>シンセイバンゴウ</t>
    </rPh>
    <phoneticPr fontId="13"/>
  </si>
  <si>
    <t>掲載されていない（使わない）</t>
    <rPh sb="0" eb="2">
      <t>ケイサイ</t>
    </rPh>
    <rPh sb="9" eb="10">
      <t>ツカ</t>
    </rPh>
    <phoneticPr fontId="7"/>
  </si>
  <si>
    <t>単体</t>
    <rPh sb="0" eb="2">
      <t>タンタイ</t>
    </rPh>
    <phoneticPr fontId="6"/>
  </si>
  <si>
    <t>事業場</t>
    <rPh sb="0" eb="3">
      <t>ジギョウジョウ</t>
    </rPh>
    <phoneticPr fontId="6"/>
  </si>
  <si>
    <t>住所</t>
    <rPh sb="0" eb="2">
      <t>ジュウショ</t>
    </rPh>
    <phoneticPr fontId="6"/>
  </si>
  <si>
    <t>スキャンツールメーカー名</t>
  </si>
  <si>
    <t>スキャンツールメーカーコード</t>
  </si>
  <si>
    <t>スキャンツール名称・型式</t>
  </si>
  <si>
    <t>スキャンツール名称・型式コード</t>
    <rPh sb="7" eb="9">
      <t>メイショウ</t>
    </rPh>
    <rPh sb="10" eb="12">
      <t>カタシキ</t>
    </rPh>
    <phoneticPr fontId="6"/>
  </si>
  <si>
    <t>スキャンツール品番</t>
  </si>
  <si>
    <t>スキャンツール品番コード</t>
    <rPh sb="7" eb="9">
      <t>ヒンバン</t>
    </rPh>
    <phoneticPr fontId="6"/>
  </si>
  <si>
    <t>スキャンツールソフトウェアのバージョン</t>
  </si>
  <si>
    <t>スキャンツールソフトウェアのバージョンコード</t>
  </si>
  <si>
    <t>（別紙2）</t>
    <phoneticPr fontId="6"/>
  </si>
  <si>
    <t>【受講した補助対象研修のコード】</t>
    <phoneticPr fontId="13"/>
  </si>
  <si>
    <t>ｺｰﾄﾞ</t>
    <phoneticPr fontId="6"/>
  </si>
  <si>
    <t xml:space="preserve">「補助対象研修一覧」に記載のある研修に限る。
</t>
    <phoneticPr fontId="6"/>
  </si>
  <si>
    <t>【研修に要する経費、補助金の額】</t>
    <phoneticPr fontId="13"/>
  </si>
  <si>
    <t>（１）研修に要する経費、補助金の額には消費税相当分の額は含まないこと。</t>
  </si>
  <si>
    <r>
      <t>（３）研修に要する経費を補助率で乗じた額が</t>
    </r>
    <r>
      <rPr>
        <sz val="10"/>
        <color theme="1"/>
        <rFont val="ＭＳ 明朝"/>
        <family val="1"/>
        <charset val="128"/>
      </rPr>
      <t>１万円を超える場合の補助金の額欄に記載する金額は、</t>
    </r>
    <r>
      <rPr>
        <sz val="10"/>
        <color rgb="FF000000"/>
        <rFont val="ＭＳ 明朝"/>
        <family val="1"/>
        <charset val="128"/>
      </rPr>
      <t>１０,０００円とする。</t>
    </r>
    <phoneticPr fontId="6"/>
  </si>
  <si>
    <r>
      <t>（２）研修に要する経費を補助率で乗じた額が</t>
    </r>
    <r>
      <rPr>
        <sz val="10"/>
        <color theme="1"/>
        <rFont val="ＭＳ 明朝"/>
        <family val="1"/>
        <charset val="128"/>
      </rPr>
      <t>１万円</t>
    </r>
    <r>
      <rPr>
        <sz val="10"/>
        <color rgb="FF000000"/>
        <rFont val="ＭＳ 明朝"/>
        <family val="1"/>
        <charset val="128"/>
      </rPr>
      <t>を下回る場合の補助金の額欄に記載する金額は、１００円未満を切り捨てた額とする。</t>
    </r>
    <phoneticPr fontId="6"/>
  </si>
  <si>
    <t>２-２．研修の情報を入力してください。</t>
    <rPh sb="4" eb="6">
      <t>ケンシュウ</t>
    </rPh>
    <phoneticPr fontId="6"/>
  </si>
  <si>
    <t>２-３．研修に要する経費を税抜で入力してください。</t>
    <rPh sb="4" eb="6">
      <t>ケンシュウ</t>
    </rPh>
    <rPh sb="13" eb="15">
      <t>ゼイヌキ</t>
    </rPh>
    <phoneticPr fontId="6"/>
  </si>
  <si>
    <t>研修の価格</t>
    <rPh sb="0" eb="2">
      <t>ケンシュウ</t>
    </rPh>
    <phoneticPr fontId="6"/>
  </si>
  <si>
    <t>G-TRAINING　基礎編</t>
    <rPh sb="11" eb="13">
      <t>キソ</t>
    </rPh>
    <rPh sb="13" eb="14">
      <t>ヘン</t>
    </rPh>
    <phoneticPr fontId="4"/>
  </si>
  <si>
    <t>G-TRAINING　故障診断編</t>
    <rPh sb="11" eb="13">
      <t>コショウ</t>
    </rPh>
    <rPh sb="13" eb="15">
      <t>シンダン</t>
    </rPh>
    <rPh sb="15" eb="16">
      <t>ヘン</t>
    </rPh>
    <phoneticPr fontId="4"/>
  </si>
  <si>
    <t>G-TRAINING　エーミング編（乗用車）</t>
    <rPh sb="16" eb="17">
      <t>ヘン</t>
    </rPh>
    <rPh sb="18" eb="21">
      <t>ジョウヨウシャ</t>
    </rPh>
    <phoneticPr fontId="4"/>
  </si>
  <si>
    <t>G-TRAINING　エーミング編（トラック）</t>
    <rPh sb="16" eb="17">
      <t>ヘン</t>
    </rPh>
    <phoneticPr fontId="4"/>
  </si>
  <si>
    <t>G-TRAINING　コモンレール編</t>
    <rPh sb="17" eb="18">
      <t>ヘン</t>
    </rPh>
    <phoneticPr fontId="4"/>
  </si>
  <si>
    <t>G-TRAINING　ＥＶ編</t>
    <rPh sb="13" eb="14">
      <t>ヘン</t>
    </rPh>
    <phoneticPr fontId="4"/>
  </si>
  <si>
    <t>TR-C-01</t>
  </si>
  <si>
    <t>TR-C-02</t>
  </si>
  <si>
    <t>TR-C-03</t>
  </si>
  <si>
    <t>TR-C-04</t>
  </si>
  <si>
    <t>TR-C-05</t>
  </si>
  <si>
    <t>TR-C-06</t>
  </si>
  <si>
    <t>TR-C-07</t>
  </si>
  <si>
    <t>TR-C-08</t>
  </si>
  <si>
    <t>TR-C-09</t>
  </si>
  <si>
    <t>TR-C-10</t>
  </si>
  <si>
    <t>TR-C-11</t>
  </si>
  <si>
    <t>TR-C-12</t>
  </si>
  <si>
    <t>TR-C-13</t>
  </si>
  <si>
    <t>TR-C-14</t>
  </si>
  <si>
    <t>TR-C-15</t>
  </si>
  <si>
    <t>TR-C-16</t>
  </si>
  <si>
    <t>TR-C-17</t>
  </si>
  <si>
    <t>TR-C-18</t>
  </si>
  <si>
    <t>TR-A-01</t>
  </si>
  <si>
    <t>TR-A-02</t>
  </si>
  <si>
    <t>TR-A-03</t>
  </si>
  <si>
    <t>TR-A-04</t>
  </si>
  <si>
    <t>TR-A-05</t>
  </si>
  <si>
    <t>TR-A-06</t>
  </si>
  <si>
    <t>TR-A-07</t>
  </si>
  <si>
    <t>TR-A-08</t>
  </si>
  <si>
    <t>TR-A-09</t>
  </si>
  <si>
    <t>TR-A-10</t>
  </si>
  <si>
    <t>TR-A-11</t>
  </si>
  <si>
    <t>TR-A-12</t>
  </si>
  <si>
    <t>TR-A-13</t>
  </si>
  <si>
    <t>TR-A-14</t>
  </si>
  <si>
    <t>TR-A-15</t>
  </si>
  <si>
    <t>TR-A-16</t>
  </si>
  <si>
    <t>TR-A-17</t>
  </si>
  <si>
    <t>TR-A-18</t>
  </si>
  <si>
    <t>TR-A-19</t>
  </si>
  <si>
    <t>TR-A-20</t>
  </si>
  <si>
    <t>TR-A-21</t>
  </si>
  <si>
    <t>TR-A-22</t>
  </si>
  <si>
    <t>TR-A-23</t>
  </si>
  <si>
    <t>TR-A-24</t>
  </si>
  <si>
    <t>TR-A-25</t>
  </si>
  <si>
    <t>TR-A-26</t>
  </si>
  <si>
    <t>TR-A-27</t>
  </si>
  <si>
    <t>TR-A-28</t>
  </si>
  <si>
    <t>TR-A-29</t>
  </si>
  <si>
    <t>TR-H-01</t>
  </si>
  <si>
    <t>TR-J-106</t>
  </si>
  <si>
    <t>TR-J-107</t>
  </si>
  <si>
    <t>TR-J-108</t>
  </si>
  <si>
    <t>TR-J-109</t>
  </si>
  <si>
    <t>TR-J-110</t>
  </si>
  <si>
    <t>TR-J-111</t>
  </si>
  <si>
    <t>TR-J-112</t>
  </si>
  <si>
    <t>TR-J-113</t>
  </si>
  <si>
    <t>TR-J-201</t>
  </si>
  <si>
    <t>TR-J-202</t>
  </si>
  <si>
    <t>TR-J-301</t>
  </si>
  <si>
    <t>TR-J-302</t>
  </si>
  <si>
    <t>TR-J-303</t>
  </si>
  <si>
    <t>TR-J-304</t>
  </si>
  <si>
    <t>TR-J-306</t>
  </si>
  <si>
    <t>TR-J-307</t>
  </si>
  <si>
    <t>TR-J-401</t>
  </si>
  <si>
    <t>TR-J-402</t>
  </si>
  <si>
    <t>TR-J-403</t>
  </si>
  <si>
    <t>TR-J-404</t>
  </si>
  <si>
    <t>TR-J-405</t>
  </si>
  <si>
    <t>TR-J-406</t>
  </si>
  <si>
    <t>TR-J-409</t>
  </si>
  <si>
    <t>TR-J-410</t>
  </si>
  <si>
    <t>TR-J-411</t>
  </si>
  <si>
    <t>TR-J-412</t>
  </si>
  <si>
    <t>TR-J-501</t>
  </si>
  <si>
    <t>TR-J-502</t>
  </si>
  <si>
    <t>TR-J-503</t>
  </si>
  <si>
    <t>TR-J-504</t>
  </si>
  <si>
    <t>TR-J-505</t>
  </si>
  <si>
    <t>TR-J-506</t>
  </si>
  <si>
    <t>TR-J-507</t>
  </si>
  <si>
    <t>TR-J-508</t>
  </si>
  <si>
    <t>TR-J-701</t>
  </si>
  <si>
    <t>TR-J-702</t>
  </si>
  <si>
    <t>TR-J-703</t>
  </si>
  <si>
    <t>TR-J-704</t>
  </si>
  <si>
    <t>TR-J-801</t>
  </si>
  <si>
    <t>TR-J-804</t>
  </si>
  <si>
    <t>TR-J-911</t>
  </si>
  <si>
    <t>TR-J-912</t>
  </si>
  <si>
    <t>TR-J-913</t>
  </si>
  <si>
    <t>TR-J-914</t>
  </si>
  <si>
    <t>TR-J-915</t>
  </si>
  <si>
    <t>TR-J-916</t>
  </si>
  <si>
    <t>TR-J-917</t>
  </si>
  <si>
    <t>TR-J-1001</t>
  </si>
  <si>
    <t>TR-J-1002</t>
  </si>
  <si>
    <t>OBD車検向けトラブル シューティング入門</t>
    <rPh sb="3" eb="5">
      <t>シャケン</t>
    </rPh>
    <rPh sb="5" eb="6">
      <t>ム</t>
    </rPh>
    <rPh sb="19" eb="21">
      <t>ニュウモン</t>
    </rPh>
    <phoneticPr fontId="4"/>
  </si>
  <si>
    <t>CDR アナリスト認定トレーニング</t>
  </si>
  <si>
    <t>CDRテクニシャン認定トレーニングペーシック</t>
    <rPh sb="9" eb="11">
      <t>ニンテイ</t>
    </rPh>
    <phoneticPr fontId="4"/>
  </si>
  <si>
    <t>CDRテクニシャン認定トレーニングプラス</t>
    <rPh sb="9" eb="11">
      <t>ニンテイ</t>
    </rPh>
    <phoneticPr fontId="4"/>
  </si>
  <si>
    <t>CDR アナリスト更新モジュール 1</t>
  </si>
  <si>
    <t>CDR アナリスト更新モジュール 2</t>
  </si>
  <si>
    <t>CDR アナリスト更新モジュール 3</t>
  </si>
  <si>
    <t>CDR アナリスト向けボッシュシステムトレーニング</t>
  </si>
  <si>
    <t>ADASエキスパート認定トレーニング ADAS1&amp;2</t>
    <rPh sb="10" eb="12">
      <t>ニンテイ</t>
    </rPh>
    <phoneticPr fontId="4"/>
  </si>
  <si>
    <t>自動車電気の基礎</t>
  </si>
  <si>
    <t xml:space="preserve">始動・充電系統 </t>
  </si>
  <si>
    <t xml:space="preserve">モトロニック I </t>
  </si>
  <si>
    <t xml:space="preserve">モトロニック II </t>
  </si>
  <si>
    <t>ABS/ ESC システム</t>
  </si>
  <si>
    <t>スタート・ストップ システム</t>
  </si>
  <si>
    <t>ハイブリッド車</t>
  </si>
  <si>
    <t xml:space="preserve">モトロニック ＩＩＩ </t>
  </si>
  <si>
    <t>先進運転支援システム</t>
  </si>
  <si>
    <t>車両システム アナライザ FSA</t>
  </si>
  <si>
    <t>トラブル シューティング</t>
  </si>
  <si>
    <t>バッテリーマスターテクニシャン</t>
  </si>
  <si>
    <t>バッテリー セールス マスター</t>
  </si>
  <si>
    <t>排気ガス制御</t>
  </si>
  <si>
    <t>KE ジェトロニック</t>
  </si>
  <si>
    <t>CRS システム</t>
  </si>
  <si>
    <t>自動車用エアコン システム</t>
  </si>
  <si>
    <t>センサー測定技術</t>
  </si>
  <si>
    <t>ネットワーク システム</t>
  </si>
  <si>
    <t>48V システム</t>
  </si>
  <si>
    <t>スマートOBD検査研修</t>
    <rPh sb="7" eb="9">
      <t>ケンサ</t>
    </rPh>
    <rPh sb="9" eb="11">
      <t>ケンシュウ</t>
    </rPh>
    <phoneticPr fontId="4"/>
  </si>
  <si>
    <t>スキャンツール活用基本研修</t>
    <rPh sb="7" eb="9">
      <t>カツヨウ</t>
    </rPh>
    <rPh sb="9" eb="11">
      <t>キホン</t>
    </rPh>
    <rPh sb="11" eb="13">
      <t>ケンシュウ</t>
    </rPh>
    <phoneticPr fontId="4"/>
  </si>
  <si>
    <t>スキャンツール活用応用研修</t>
    <rPh sb="7" eb="9">
      <t>カツヨウ</t>
    </rPh>
    <rPh sb="9" eb="11">
      <t>オウヨウ</t>
    </rPh>
    <rPh sb="11" eb="13">
      <t>ケンシュウ</t>
    </rPh>
    <phoneticPr fontId="4"/>
  </si>
  <si>
    <t>スキャンツールステップアップ研修</t>
    <rPh sb="14" eb="16">
      <t>ケンシュウ</t>
    </rPh>
    <phoneticPr fontId="4"/>
  </si>
  <si>
    <t>スキャンツール基本研修</t>
    <rPh sb="7" eb="9">
      <t>キホン</t>
    </rPh>
    <rPh sb="9" eb="11">
      <t>ケンシュウ</t>
    </rPh>
    <phoneticPr fontId="4"/>
  </si>
  <si>
    <t>スキャンツール応用研修</t>
    <rPh sb="7" eb="9">
      <t>オウヨウ</t>
    </rPh>
    <rPh sb="9" eb="11">
      <t>ケンシュウ</t>
    </rPh>
    <phoneticPr fontId="4"/>
  </si>
  <si>
    <t>配線図・スキャンツール活用研修</t>
    <rPh sb="0" eb="3">
      <t>ハイセンズ</t>
    </rPh>
    <rPh sb="11" eb="13">
      <t>カツヨウ</t>
    </rPh>
    <rPh sb="13" eb="15">
      <t>ケンシュウ</t>
    </rPh>
    <phoneticPr fontId="4"/>
  </si>
  <si>
    <t>スキャンツール応用研修会</t>
    <rPh sb="7" eb="9">
      <t>オウヨウ</t>
    </rPh>
    <rPh sb="9" eb="12">
      <t>ケンシュウカイ</t>
    </rPh>
    <phoneticPr fontId="4"/>
  </si>
  <si>
    <t>スキャンツール基本研修</t>
    <rPh sb="7" eb="11">
      <t>キホンケンシュウ</t>
    </rPh>
    <phoneticPr fontId="4"/>
  </si>
  <si>
    <t>スキャンツールスキルアップ研修</t>
    <rPh sb="13" eb="15">
      <t>ケンシュウ</t>
    </rPh>
    <phoneticPr fontId="4"/>
  </si>
  <si>
    <t>スキャンツール応用研修</t>
    <rPh sb="7" eb="11">
      <t>オウヨウケンシュウ</t>
    </rPh>
    <phoneticPr fontId="4"/>
  </si>
  <si>
    <t>スキャンツール基本研修会</t>
    <rPh sb="7" eb="9">
      <t>キホン</t>
    </rPh>
    <rPh sb="9" eb="12">
      <t>ケンシュウカイ</t>
    </rPh>
    <phoneticPr fontId="4"/>
  </si>
  <si>
    <t>スキャンツールステップアップ研修会</t>
    <rPh sb="14" eb="16">
      <t>ケンシュウ</t>
    </rPh>
    <rPh sb="16" eb="17">
      <t>カイ</t>
    </rPh>
    <phoneticPr fontId="4"/>
  </si>
  <si>
    <t>スキャンツール活用研修（基本編）</t>
    <rPh sb="7" eb="9">
      <t>カツヨウ</t>
    </rPh>
    <rPh sb="9" eb="11">
      <t>ケンシュウ</t>
    </rPh>
    <rPh sb="12" eb="14">
      <t>キホン</t>
    </rPh>
    <rPh sb="14" eb="15">
      <t>ヘン</t>
    </rPh>
    <phoneticPr fontId="4"/>
  </si>
  <si>
    <t>スキャンツール活用研修（応用編）</t>
    <rPh sb="7" eb="9">
      <t>カツヨウ</t>
    </rPh>
    <rPh sb="9" eb="11">
      <t>ケンシュウ</t>
    </rPh>
    <rPh sb="12" eb="14">
      <t>オウヨウ</t>
    </rPh>
    <rPh sb="14" eb="15">
      <t>ヘン</t>
    </rPh>
    <phoneticPr fontId="4"/>
  </si>
  <si>
    <t>エーミング講習</t>
    <rPh sb="5" eb="7">
      <t>コウシュウ</t>
    </rPh>
    <phoneticPr fontId="4"/>
  </si>
  <si>
    <t>スキャンツール【基本研修】</t>
    <rPh sb="8" eb="10">
      <t>キホン</t>
    </rPh>
    <rPh sb="10" eb="12">
      <t>ケンシュウ</t>
    </rPh>
    <phoneticPr fontId="4"/>
  </si>
  <si>
    <t>スキャンツール【応用研修】</t>
    <rPh sb="8" eb="10">
      <t>オウヨウ</t>
    </rPh>
    <rPh sb="10" eb="12">
      <t>ケンシュウ</t>
    </rPh>
    <phoneticPr fontId="4"/>
  </si>
  <si>
    <t>スキャンツール活用研修会（基本編）</t>
    <rPh sb="7" eb="9">
      <t>カツヨウ</t>
    </rPh>
    <rPh sb="9" eb="12">
      <t>ケンシュウカイ</t>
    </rPh>
    <rPh sb="13" eb="15">
      <t>キホン</t>
    </rPh>
    <rPh sb="15" eb="16">
      <t>ヘン</t>
    </rPh>
    <rPh sb="16" eb="17">
      <t>ホンペン</t>
    </rPh>
    <phoneticPr fontId="4"/>
  </si>
  <si>
    <t>スキャンツール活用研修会（応用編）</t>
    <rPh sb="7" eb="9">
      <t>カツヨウ</t>
    </rPh>
    <rPh sb="9" eb="12">
      <t>ケンシュウカイ</t>
    </rPh>
    <rPh sb="13" eb="15">
      <t>オウヨウ</t>
    </rPh>
    <rPh sb="15" eb="16">
      <t>ヘン</t>
    </rPh>
    <rPh sb="16" eb="17">
      <t>ホンペン</t>
    </rPh>
    <phoneticPr fontId="4"/>
  </si>
  <si>
    <t>スキャンツール活用研修会【基本研修】</t>
    <rPh sb="7" eb="9">
      <t>カツヨウ</t>
    </rPh>
    <rPh sb="9" eb="12">
      <t>ケンシュウカイ</t>
    </rPh>
    <rPh sb="13" eb="17">
      <t>キホンケンシュウ</t>
    </rPh>
    <phoneticPr fontId="4"/>
  </si>
  <si>
    <t>スキャンツール活用研修会【応用研修】</t>
    <rPh sb="7" eb="9">
      <t>カツヨウ</t>
    </rPh>
    <rPh sb="9" eb="12">
      <t>ケンシュウカイ</t>
    </rPh>
    <rPh sb="13" eb="15">
      <t>オウヨウ</t>
    </rPh>
    <rPh sb="15" eb="17">
      <t>ケンシュウ</t>
    </rPh>
    <phoneticPr fontId="4"/>
  </si>
  <si>
    <t>スキャンツール活用研修会【ﾚﾍﾞﾙｱｯﾌﾟ研修】</t>
    <rPh sb="7" eb="9">
      <t>カツヨウ</t>
    </rPh>
    <rPh sb="9" eb="12">
      <t>ケンシュウカイ</t>
    </rPh>
    <rPh sb="21" eb="22">
      <t>）</t>
    </rPh>
    <phoneticPr fontId="4"/>
  </si>
  <si>
    <t>ｽｷｬﾝﾂｰﾙ基本研修</t>
    <rPh sb="7" eb="9">
      <t>キホン</t>
    </rPh>
    <rPh sb="9" eb="11">
      <t>ケンシュウ</t>
    </rPh>
    <phoneticPr fontId="4"/>
  </si>
  <si>
    <t>ｽｷｬﾝﾂｰﾙ応用研修</t>
    <rPh sb="7" eb="9">
      <t>オウヨウ</t>
    </rPh>
    <rPh sb="9" eb="11">
      <t>ケンシュウ</t>
    </rPh>
    <phoneticPr fontId="4"/>
  </si>
  <si>
    <t>スキャンツール活用事業場応用研修</t>
    <rPh sb="7" eb="9">
      <t>カツヨウ</t>
    </rPh>
    <rPh sb="9" eb="12">
      <t>ジギョウジョウ</t>
    </rPh>
    <rPh sb="12" eb="14">
      <t>オウヨウ</t>
    </rPh>
    <rPh sb="14" eb="16">
      <t>ケンシュウ</t>
    </rPh>
    <phoneticPr fontId="4"/>
  </si>
  <si>
    <t>スキャンツール活用応用研修会</t>
    <rPh sb="7" eb="9">
      <t>カツヨウ</t>
    </rPh>
    <rPh sb="9" eb="11">
      <t>オウヨウ</t>
    </rPh>
    <rPh sb="11" eb="14">
      <t>ケンシュウカイ</t>
    </rPh>
    <phoneticPr fontId="4"/>
  </si>
  <si>
    <t>スキャンツール活用研修会【基本】研修</t>
    <rPh sb="7" eb="9">
      <t>カツヨウ</t>
    </rPh>
    <rPh sb="9" eb="11">
      <t>ケンシュウ</t>
    </rPh>
    <rPh sb="11" eb="12">
      <t>カイ</t>
    </rPh>
    <rPh sb="13" eb="15">
      <t>キホン</t>
    </rPh>
    <rPh sb="16" eb="18">
      <t>ケンシュウ</t>
    </rPh>
    <phoneticPr fontId="4"/>
  </si>
  <si>
    <t>スキャンツール活用研修会【応用】研修</t>
    <rPh sb="7" eb="9">
      <t>カツヨウ</t>
    </rPh>
    <rPh sb="9" eb="11">
      <t>ケンシュウ</t>
    </rPh>
    <rPh sb="11" eb="12">
      <t>カイ</t>
    </rPh>
    <rPh sb="13" eb="15">
      <t>オウヨウ</t>
    </rPh>
    <rPh sb="16" eb="18">
      <t>ケンシュウ</t>
    </rPh>
    <phoneticPr fontId="4"/>
  </si>
  <si>
    <t>スキャンツール活用研修会【フォローアップ】研修</t>
    <rPh sb="7" eb="9">
      <t>カツヨウ</t>
    </rPh>
    <rPh sb="9" eb="11">
      <t>ケンシュウ</t>
    </rPh>
    <rPh sb="11" eb="12">
      <t>カイ</t>
    </rPh>
    <rPh sb="21" eb="23">
      <t>ケンシュウ</t>
    </rPh>
    <phoneticPr fontId="4"/>
  </si>
  <si>
    <t>TR-J-101</t>
  </si>
  <si>
    <t>TR-J-102</t>
  </si>
  <si>
    <t>TR-J-103</t>
  </si>
  <si>
    <t>TR-J-104</t>
  </si>
  <si>
    <t>TR-J-105</t>
  </si>
  <si>
    <t>TR-J-902</t>
  </si>
  <si>
    <t>TR-J-903</t>
  </si>
  <si>
    <t>TR-J-904</t>
  </si>
  <si>
    <t>TR-J-905</t>
  </si>
  <si>
    <t>TR-J-906</t>
  </si>
  <si>
    <t>TR-J-908</t>
  </si>
  <si>
    <t>TR-J-909</t>
  </si>
  <si>
    <t>スキャンツール活用「基本研修」</t>
    <rPh sb="7" eb="9">
      <t>カツヨウ</t>
    </rPh>
    <rPh sb="10" eb="12">
      <t>キホン</t>
    </rPh>
    <rPh sb="12" eb="14">
      <t>ケンシュウ</t>
    </rPh>
    <phoneticPr fontId="4"/>
  </si>
  <si>
    <t>スキャンツール活用「応用研修」</t>
    <rPh sb="7" eb="9">
      <t>カツヨウ</t>
    </rPh>
    <rPh sb="10" eb="12">
      <t>オウヨウ</t>
    </rPh>
    <rPh sb="12" eb="14">
      <t>ケンシュウ</t>
    </rPh>
    <phoneticPr fontId="4"/>
  </si>
  <si>
    <t>スキャンツール活用基本研修</t>
    <rPh sb="7" eb="9">
      <t>カツヨウ</t>
    </rPh>
    <rPh sb="9" eb="13">
      <t>キホンケンシュウ</t>
    </rPh>
    <phoneticPr fontId="4"/>
  </si>
  <si>
    <t>スキャンツール活用応用研修</t>
    <rPh sb="7" eb="9">
      <t>カツヨウ</t>
    </rPh>
    <rPh sb="9" eb="13">
      <t>オウヨウケンシュウ</t>
    </rPh>
    <phoneticPr fontId="4"/>
  </si>
  <si>
    <t>スキャンツール活用研修(基本編)</t>
    <rPh sb="7" eb="9">
      <t>カツヨウ</t>
    </rPh>
    <rPh sb="9" eb="11">
      <t>ケンシュウ</t>
    </rPh>
    <rPh sb="12" eb="14">
      <t>キホン</t>
    </rPh>
    <rPh sb="14" eb="15">
      <t>ヘン</t>
    </rPh>
    <phoneticPr fontId="4"/>
  </si>
  <si>
    <t>スキャンツール活用研修(応用編)</t>
    <rPh sb="7" eb="9">
      <t>カツヨウ</t>
    </rPh>
    <rPh sb="9" eb="11">
      <t>ケンシュウ</t>
    </rPh>
    <rPh sb="12" eb="14">
      <t>オウヨウ</t>
    </rPh>
    <rPh sb="14" eb="15">
      <t>ヘン</t>
    </rPh>
    <phoneticPr fontId="4"/>
  </si>
  <si>
    <t>ｽｷｬﾝﾂｰﾙ活用研修(基本編)</t>
    <rPh sb="7" eb="9">
      <t>カツヨウ</t>
    </rPh>
    <rPh sb="9" eb="11">
      <t>ケンシュウ</t>
    </rPh>
    <rPh sb="12" eb="15">
      <t>キホンヘン</t>
    </rPh>
    <phoneticPr fontId="4"/>
  </si>
  <si>
    <t>ｽｷｬﾝﾂｰﾙ活用研修(応用編)</t>
    <rPh sb="7" eb="9">
      <t>カツヨウ</t>
    </rPh>
    <rPh sb="9" eb="11">
      <t>ケンシュウ</t>
    </rPh>
    <rPh sb="12" eb="14">
      <t>オウヨウ</t>
    </rPh>
    <rPh sb="14" eb="15">
      <t>ヘン</t>
    </rPh>
    <phoneticPr fontId="4"/>
  </si>
  <si>
    <t>スキャンツール活用研修会（基本編）</t>
    <rPh sb="7" eb="9">
      <t>カツヨウ</t>
    </rPh>
    <rPh sb="9" eb="12">
      <t>ケンシュウカイ</t>
    </rPh>
    <rPh sb="13" eb="15">
      <t>キホン</t>
    </rPh>
    <rPh sb="15" eb="16">
      <t>ヘン</t>
    </rPh>
    <phoneticPr fontId="4"/>
  </si>
  <si>
    <t>スキャンツール活用研修会（応用編）</t>
    <rPh sb="7" eb="9">
      <t>カツヨウ</t>
    </rPh>
    <rPh sb="9" eb="12">
      <t>ケンシュウカイ</t>
    </rPh>
    <rPh sb="13" eb="15">
      <t>オウヨウ</t>
    </rPh>
    <rPh sb="15" eb="16">
      <t>ヘン</t>
    </rPh>
    <phoneticPr fontId="4"/>
  </si>
  <si>
    <t>日整連スキャンツール基本研修</t>
    <rPh sb="12" eb="14">
      <t>ケンシュウ</t>
    </rPh>
    <phoneticPr fontId="4"/>
  </si>
  <si>
    <t>日整連スキャンツール応用研修</t>
    <rPh sb="12" eb="14">
      <t>ケンシュウ</t>
    </rPh>
    <phoneticPr fontId="4"/>
  </si>
  <si>
    <t>研修名</t>
    <rPh sb="0" eb="2">
      <t>ケンシュウ</t>
    </rPh>
    <phoneticPr fontId="6"/>
  </si>
  <si>
    <t>研修名</t>
    <rPh sb="0" eb="3">
      <t>ケンシュウメイ</t>
    </rPh>
    <phoneticPr fontId="6"/>
  </si>
  <si>
    <t>２-２研修の情報を入力する▼（ジャンプします）</t>
    <rPh sb="3" eb="5">
      <t>ケンシュウ</t>
    </rPh>
    <rPh sb="6" eb="8">
      <t>ジョウホウ</t>
    </rPh>
    <rPh sb="9" eb="11">
      <t>ニュウリョク</t>
    </rPh>
    <phoneticPr fontId="6"/>
  </si>
  <si>
    <t>研修①</t>
    <rPh sb="0" eb="2">
      <t>ケンシュウ</t>
    </rPh>
    <phoneticPr fontId="6"/>
  </si>
  <si>
    <t>研修②</t>
    <rPh sb="0" eb="2">
      <t>ケンシュウ</t>
    </rPh>
    <phoneticPr fontId="6"/>
  </si>
  <si>
    <t>研修③</t>
    <rPh sb="0" eb="2">
      <t>ケンシュウ</t>
    </rPh>
    <phoneticPr fontId="6"/>
  </si>
  <si>
    <t>２-３研修の金額を入力する▼（ジャンプします）</t>
    <rPh sb="3" eb="5">
      <t>ケンシュウ</t>
    </rPh>
    <rPh sb="6" eb="8">
      <t>キンガク</t>
    </rPh>
    <rPh sb="9" eb="11">
      <t>ニュウリョク</t>
    </rPh>
    <phoneticPr fontId="6"/>
  </si>
  <si>
    <t>研修を受講した者の事業場名</t>
    <phoneticPr fontId="6"/>
  </si>
  <si>
    <t>【補助対象研修を受講した者の事業場】</t>
    <phoneticPr fontId="13"/>
  </si>
  <si>
    <t>【補助対象研修を受講した者の事業場】</t>
    <rPh sb="1" eb="3">
      <t>ホジョ</t>
    </rPh>
    <rPh sb="3" eb="5">
      <t>タイショウ</t>
    </rPh>
    <rPh sb="5" eb="7">
      <t>ケンシュウ</t>
    </rPh>
    <rPh sb="8" eb="10">
      <t>ジュコウ</t>
    </rPh>
    <rPh sb="12" eb="13">
      <t>モノ</t>
    </rPh>
    <rPh sb="14" eb="16">
      <t>ジギョウ</t>
    </rPh>
    <rPh sb="16" eb="17">
      <t>バ</t>
    </rPh>
    <phoneticPr fontId="13"/>
  </si>
  <si>
    <t>研修を受講した者の事業場名</t>
    <phoneticPr fontId="6"/>
  </si>
  <si>
    <t>ｺｰﾄﾞ</t>
    <phoneticPr fontId="6"/>
  </si>
  <si>
    <t>ｺｰﾄﾞ</t>
    <phoneticPr fontId="6"/>
  </si>
  <si>
    <t>-</t>
    <phoneticPr fontId="6"/>
  </si>
  <si>
    <t>※1回のみ申請する場合は、2回目、3回目の入力は不要です。</t>
    <rPh sb="2" eb="3">
      <t>カイ</t>
    </rPh>
    <rPh sb="14" eb="15">
      <t>カイ</t>
    </rPh>
    <rPh sb="18" eb="19">
      <t>カイ</t>
    </rPh>
    <rPh sb="24" eb="26">
      <t>フヨウ</t>
    </rPh>
    <phoneticPr fontId="6"/>
  </si>
  <si>
    <t>２．補助金申請額</t>
    <phoneticPr fontId="6"/>
  </si>
  <si>
    <t>【注意】２事業場以上申請する場合は、このシートに事業場と研修の情報を入力してください。</t>
    <rPh sb="1" eb="3">
      <t>チュウイ</t>
    </rPh>
    <rPh sb="5" eb="8">
      <t>ジギョウバ</t>
    </rPh>
    <rPh sb="8" eb="10">
      <t>イジョウ</t>
    </rPh>
    <rPh sb="10" eb="12">
      <t>シンセイ</t>
    </rPh>
    <rPh sb="14" eb="16">
      <t>バアイ</t>
    </rPh>
    <rPh sb="24" eb="27">
      <t>ジギョウバ</t>
    </rPh>
    <rPh sb="28" eb="30">
      <t>ケンシュウ</t>
    </rPh>
    <rPh sb="31" eb="33">
      <t>ジョウホウ</t>
    </rPh>
    <rPh sb="34" eb="36">
      <t>ニュウリョク</t>
    </rPh>
    <phoneticPr fontId="7"/>
  </si>
  <si>
    <t>※1回のみ申請する場合は、２回目、３回目の入力は不要です。</t>
    <rPh sb="2" eb="3">
      <t>カイ</t>
    </rPh>
    <rPh sb="14" eb="15">
      <t>カイ</t>
    </rPh>
    <rPh sb="18" eb="19">
      <t>カイ</t>
    </rPh>
    <rPh sb="24" eb="26">
      <t>フヨウ</t>
    </rPh>
    <phoneticPr fontId="6"/>
  </si>
  <si>
    <t>コード番号</t>
    <phoneticPr fontId="6"/>
  </si>
  <si>
    <t>TR-J-203</t>
  </si>
  <si>
    <t>TR-J-204</t>
  </si>
  <si>
    <t>スキャンツール活用基本研修</t>
    <phoneticPr fontId="6"/>
  </si>
  <si>
    <t>スキャンツール活用応用研修</t>
    <phoneticPr fontId="6"/>
  </si>
  <si>
    <t>TR-J-308</t>
  </si>
  <si>
    <t>TR-J-309</t>
  </si>
  <si>
    <t>ADAS研修</t>
    <phoneticPr fontId="6"/>
  </si>
  <si>
    <t>検査用スキャンツール研修</t>
    <phoneticPr fontId="6"/>
  </si>
  <si>
    <t>TR-J-413</t>
  </si>
  <si>
    <t>TR-J-414</t>
  </si>
  <si>
    <t>スキャンツール応用研修</t>
    <phoneticPr fontId="6"/>
  </si>
  <si>
    <t>スキャンツールステップアップ研修</t>
    <phoneticPr fontId="6"/>
  </si>
  <si>
    <t>TR-J-601</t>
    <phoneticPr fontId="6"/>
  </si>
  <si>
    <t>TR-J-602</t>
  </si>
  <si>
    <t>TR-J-603</t>
  </si>
  <si>
    <t>車載ネットワーク通信セミナー</t>
    <phoneticPr fontId="6"/>
  </si>
  <si>
    <t>スキャンツール活用研修会基本研修</t>
    <phoneticPr fontId="6"/>
  </si>
  <si>
    <t>スキャンツール活用研修会応用研修</t>
    <phoneticPr fontId="6"/>
  </si>
  <si>
    <t>TR-J-802</t>
  </si>
  <si>
    <t>TR-J-803</t>
  </si>
  <si>
    <t>TR-J-805</t>
  </si>
  <si>
    <t>スキャンツール活用研修ステップアップ編</t>
    <phoneticPr fontId="6"/>
  </si>
  <si>
    <t>スキャンツール活用基本研修会</t>
    <phoneticPr fontId="6"/>
  </si>
  <si>
    <t>スキャンツールステップアップ研修会</t>
    <phoneticPr fontId="6"/>
  </si>
  <si>
    <t>TR-J-918</t>
    <phoneticPr fontId="6"/>
  </si>
  <si>
    <t>ステップアップ研修</t>
    <phoneticPr fontId="6"/>
  </si>
  <si>
    <t>TR-J-919</t>
    <phoneticPr fontId="6"/>
  </si>
  <si>
    <t>ＯＢＤ検査研修会</t>
    <phoneticPr fontId="6"/>
  </si>
  <si>
    <t>研修①</t>
  </si>
  <si>
    <t>研修②</t>
  </si>
  <si>
    <t>研修③</t>
  </si>
  <si>
    <t>※上限額:1万円</t>
    <rPh sb="1" eb="3">
      <t>ジョウゲン</t>
    </rPh>
    <rPh sb="3" eb="4">
      <t>ガク</t>
    </rPh>
    <rPh sb="6" eb="8">
      <t>マンエン</t>
    </rPh>
    <phoneticPr fontId="6"/>
  </si>
  <si>
    <t>補助対象経費が300円未満になっています。研修の価格を確認してください。</t>
    <rPh sb="0" eb="2">
      <t>ホジョ</t>
    </rPh>
    <rPh sb="2" eb="4">
      <t>タイショウ</t>
    </rPh>
    <rPh sb="4" eb="6">
      <t>ケイヒ</t>
    </rPh>
    <rPh sb="10" eb="11">
      <t>エン</t>
    </rPh>
    <rPh sb="11" eb="13">
      <t>ミマン</t>
    </rPh>
    <rPh sb="21" eb="23">
      <t>ケンシュウ</t>
    </rPh>
    <rPh sb="24" eb="26">
      <t>カカク</t>
    </rPh>
    <rPh sb="27" eb="29">
      <t>カクニン</t>
    </rPh>
    <phoneticPr fontId="7"/>
  </si>
  <si>
    <t>研修の価格を入力してください。</t>
    <rPh sb="0" eb="2">
      <t>ケンシュウ</t>
    </rPh>
    <phoneticPr fontId="7"/>
  </si>
  <si>
    <t>研修情報有</t>
    <rPh sb="4" eb="5">
      <t>アリ</t>
    </rPh>
    <phoneticPr fontId="7"/>
  </si>
  <si>
    <t>先に研修情報を入力してください。</t>
    <rPh sb="0" eb="1">
      <t>サキ</t>
    </rPh>
    <rPh sb="7" eb="9">
      <t>ニュウリョク</t>
    </rPh>
    <phoneticPr fontId="7"/>
  </si>
  <si>
    <t>台目</t>
    <rPh sb="0" eb="1">
      <t>ダイ</t>
    </rPh>
    <rPh sb="1" eb="2">
      <t>メ</t>
    </rPh>
    <phoneticPr fontId="7"/>
  </si>
  <si>
    <t>含まれている</t>
    <rPh sb="0" eb="1">
      <t>フク</t>
    </rPh>
    <phoneticPr fontId="6"/>
  </si>
  <si>
    <t>含まれている、または含まれていないを選択してください。</t>
    <rPh sb="0" eb="1">
      <t>フク</t>
    </rPh>
    <rPh sb="10" eb="11">
      <t>フク</t>
    </rPh>
    <rPh sb="18" eb="20">
      <t>センタク</t>
    </rPh>
    <phoneticPr fontId="7"/>
  </si>
  <si>
    <t>補助事業に要する経費、研修の価格を入力してください。</t>
    <rPh sb="11" eb="13">
      <t>ケンシュウ</t>
    </rPh>
    <phoneticPr fontId="7"/>
  </si>
  <si>
    <t>領収書に補助対象外の経費が含まれているか</t>
    <rPh sb="0" eb="3">
      <t>リョウシュウショ</t>
    </rPh>
    <rPh sb="4" eb="6">
      <t>ホジョ</t>
    </rPh>
    <rPh sb="6" eb="9">
      <t>タイショウガイ</t>
    </rPh>
    <rPh sb="10" eb="12">
      <t>ケイヒ</t>
    </rPh>
    <phoneticPr fontId="6"/>
  </si>
  <si>
    <t>・領収書に補助対象外の経費が含まれているか選択してください。</t>
    <phoneticPr fontId="6"/>
  </si>
  <si>
    <t>・領収書に補助対象外の経費が含まれているか選択してください。</t>
    <rPh sb="1" eb="4">
      <t>リョウシュウショ</t>
    </rPh>
    <rPh sb="11" eb="13">
      <t>ケイヒ</t>
    </rPh>
    <rPh sb="21" eb="23">
      <t>センタク</t>
    </rPh>
    <phoneticPr fontId="6"/>
  </si>
  <si>
    <t>※領収書にプリンタや送料等、補助対象外のものが含まれている場合は「含まれている」を、</t>
    <rPh sb="1" eb="4">
      <t>リョウシュウショ</t>
    </rPh>
    <phoneticPr fontId="6"/>
  </si>
  <si>
    <t>領収書に補助対象外の経費が含まれているか</t>
    <phoneticPr fontId="6"/>
  </si>
  <si>
    <t>TR-J-705</t>
  </si>
  <si>
    <t>TR-J-706</t>
  </si>
  <si>
    <t>スキャンツール活用研修(基本編)</t>
    <phoneticPr fontId="6"/>
  </si>
  <si>
    <t>スキャンツール活用研修(応用編)</t>
    <phoneticPr fontId="6"/>
  </si>
  <si>
    <t>■経費使用明細書【先進安全自動車の整備環境の確保に対する支援】</t>
    <phoneticPr fontId="6"/>
  </si>
  <si>
    <t>令和7年度被害者保護増進等事業費補助金</t>
  </si>
  <si>
    <t>Ver.1.00</t>
    <phoneticPr fontId="6"/>
  </si>
  <si>
    <r>
      <t>・申請する研修を研修一覧の左側にある「</t>
    </r>
    <r>
      <rPr>
        <b/>
        <u/>
        <sz val="11"/>
        <color theme="1"/>
        <rFont val="Meiryo UI"/>
        <family val="3"/>
        <charset val="128"/>
      </rPr>
      <t>コード番号</t>
    </r>
    <r>
      <rPr>
        <sz val="11"/>
        <color theme="1"/>
        <rFont val="Meiryo UI"/>
        <family val="3"/>
        <charset val="128"/>
      </rPr>
      <t>」から選択してください。
　研修名が自動表示されます。</t>
    </r>
    <rPh sb="1" eb="3">
      <t>シンセイ</t>
    </rPh>
    <rPh sb="5" eb="7">
      <t>ケンシュウ</t>
    </rPh>
    <rPh sb="8" eb="10">
      <t>ケンシュウ</t>
    </rPh>
    <rPh sb="10" eb="12">
      <t>イチラン</t>
    </rPh>
    <rPh sb="13" eb="15">
      <t>ヒダリガワ</t>
    </rPh>
    <rPh sb="22" eb="24">
      <t>バンゴウ</t>
    </rPh>
    <rPh sb="27" eb="29">
      <t>センタク</t>
    </rPh>
    <rPh sb="38" eb="40">
      <t>ケンシュウ</t>
    </rPh>
    <phoneticPr fontId="6"/>
  </si>
  <si>
    <r>
      <t xml:space="preserve">このExcelファイルはPDF等に変換せず、
</t>
    </r>
    <r>
      <rPr>
        <b/>
        <u/>
        <sz val="16"/>
        <color theme="1"/>
        <rFont val="Meiryo UI"/>
        <family val="3"/>
        <charset val="128"/>
      </rPr>
      <t>そのまま申請システムでアップロードしてください。</t>
    </r>
    <rPh sb="27" eb="29">
      <t>シンセイ</t>
    </rPh>
    <phoneticPr fontId="6"/>
  </si>
  <si>
    <t>入力シート（スキャンツールの利活用のための研修に要する経費に限る）</t>
    <rPh sb="0" eb="33">
      <t>カギ</t>
    </rPh>
    <phoneticPr fontId="6"/>
  </si>
  <si>
    <r>
      <t>・申請する研修を補助対象研修一覧の左側にある「</t>
    </r>
    <r>
      <rPr>
        <b/>
        <u/>
        <sz val="11"/>
        <color theme="1"/>
        <rFont val="Meiryo UI"/>
        <family val="3"/>
        <charset val="128"/>
      </rPr>
      <t>コード番号</t>
    </r>
    <r>
      <rPr>
        <sz val="11"/>
        <color theme="1"/>
        <rFont val="Meiryo UI"/>
        <family val="3"/>
        <charset val="128"/>
      </rPr>
      <t xml:space="preserve">」から選択してください。
</t>
    </r>
    <rPh sb="1" eb="3">
      <t>シンセイ</t>
    </rPh>
    <rPh sb="5" eb="7">
      <t>ケンシュウ</t>
    </rPh>
    <rPh sb="8" eb="10">
      <t>ホジョ</t>
    </rPh>
    <rPh sb="10" eb="12">
      <t>タイショウ</t>
    </rPh>
    <rPh sb="12" eb="14">
      <t>ケンシュウ</t>
    </rPh>
    <rPh sb="14" eb="16">
      <t>イチラン</t>
    </rPh>
    <rPh sb="17" eb="19">
      <t>ヒダリガワ</t>
    </rPh>
    <rPh sb="26" eb="28">
      <t>バンゴウ</t>
    </rPh>
    <rPh sb="31" eb="33">
      <t>センタク</t>
    </rPh>
    <phoneticPr fontId="6"/>
  </si>
  <si>
    <r>
      <rPr>
        <b/>
        <sz val="11"/>
        <color theme="1"/>
        <rFont val="Meiryo UI"/>
        <family val="3"/>
        <charset val="128"/>
      </rPr>
      <t>　研修</t>
    </r>
    <r>
      <rPr>
        <b/>
        <u/>
        <sz val="11"/>
        <color theme="1"/>
        <rFont val="Meiryo UI"/>
        <family val="3"/>
        <charset val="128"/>
      </rPr>
      <t>のみの場合は「含まれていない」</t>
    </r>
    <r>
      <rPr>
        <sz val="11"/>
        <color theme="1"/>
        <rFont val="Meiryo UI"/>
        <family val="3"/>
        <charset val="128"/>
      </rPr>
      <t>を選択してください。</t>
    </r>
    <rPh sb="1" eb="3">
      <t>ケンシュウ</t>
    </rPh>
    <phoneticPr fontId="6"/>
  </si>
  <si>
    <r>
      <t>・「含まれている」を選択した場合は、補助事業に要する経費、研修の価格を</t>
    </r>
    <r>
      <rPr>
        <b/>
        <u/>
        <sz val="11"/>
        <color rgb="FFFF0000"/>
        <rFont val="Meiryo UI"/>
        <family val="3"/>
        <charset val="128"/>
      </rPr>
      <t>税抜</t>
    </r>
    <r>
      <rPr>
        <sz val="11"/>
        <color theme="1"/>
        <rFont val="Meiryo UI"/>
        <family val="3"/>
        <charset val="128"/>
      </rPr>
      <t>で入力してください。</t>
    </r>
    <rPh sb="2" eb="3">
      <t>フク</t>
    </rPh>
    <rPh sb="10" eb="12">
      <t>センタク</t>
    </rPh>
    <rPh sb="14" eb="16">
      <t>バアイ</t>
    </rPh>
    <rPh sb="29" eb="31">
      <t>ケンシュウ</t>
    </rPh>
    <rPh sb="35" eb="37">
      <t>ゼイヌキ</t>
    </rPh>
    <phoneticPr fontId="6"/>
  </si>
  <si>
    <r>
      <t>・「含まれていない」を選択した場合は、研修の価格を</t>
    </r>
    <r>
      <rPr>
        <b/>
        <u/>
        <sz val="11"/>
        <color rgb="FFFF0000"/>
        <rFont val="Meiryo UI"/>
        <family val="3"/>
        <charset val="128"/>
      </rPr>
      <t>税抜</t>
    </r>
    <r>
      <rPr>
        <sz val="11"/>
        <color theme="1"/>
        <rFont val="Meiryo UI"/>
        <family val="3"/>
        <charset val="128"/>
      </rPr>
      <t>で入力してください。
　　</t>
    </r>
    <r>
      <rPr>
        <b/>
        <sz val="11"/>
        <color theme="1"/>
        <rFont val="Meiryo UI"/>
        <family val="3"/>
        <charset val="128"/>
      </rPr>
      <t>※「含まれていない」場合は、要する経費は入力不要です。</t>
    </r>
    <rPh sb="2" eb="3">
      <t>フク</t>
    </rPh>
    <rPh sb="11" eb="13">
      <t>センタク</t>
    </rPh>
    <rPh sb="15" eb="17">
      <t>バアイ</t>
    </rPh>
    <rPh sb="19" eb="21">
      <t>ケンシュウ</t>
    </rPh>
    <rPh sb="25" eb="27">
      <t>ゼイヌキ</t>
    </rPh>
    <phoneticPr fontId="6"/>
  </si>
  <si>
    <t>入力シート（スキャンツールの利活用のための研修に要する経費に限る）事業場 2 以降用</t>
    <rPh sb="33" eb="36">
      <t>ジギョウジョウ</t>
    </rPh>
    <rPh sb="39" eb="41">
      <t>イコウ</t>
    </rPh>
    <rPh sb="41" eb="42">
      <t>ヨウ</t>
    </rPh>
    <phoneticPr fontId="6"/>
  </si>
  <si>
    <r>
      <t>メーカー名 　</t>
    </r>
    <r>
      <rPr>
        <b/>
        <sz val="11"/>
        <color rgb="FFFF0000"/>
        <rFont val="ＭＳ Ｐゴシック"/>
        <family val="3"/>
        <charset val="128"/>
        <scheme val="minor"/>
      </rPr>
      <t>最終更新日：2025/10/9</t>
    </r>
    <rPh sb="7" eb="12">
      <t>サイシュウコウシンビ</t>
    </rPh>
    <phoneticPr fontId="6"/>
  </si>
  <si>
    <t>補助事業に
要する経費</t>
    <rPh sb="0" eb="4">
      <t>ホジョジギョウ</t>
    </rPh>
    <phoneticPr fontId="6"/>
  </si>
  <si>
    <t>補助金
交付申請額</t>
    <rPh sb="4" eb="9">
      <t>コウフシンセイガク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</si>
</sst>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1" x14ac:knownFonts="1">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6"/>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sz val="11"/>
      <color theme="1"/>
      <name val="ＭＳ ゴシック"/>
      <family val="2"/>
      <charset val="128"/>
    </font>
    <font>
      <b/>
      <sz val="11"/>
      <color theme="1"/>
      <name val="ＭＳ ゴシック"/>
      <family val="2"/>
      <charset val="128"/>
    </font>
    <font>
      <b/>
      <sz val="11"/>
      <color theme="1"/>
      <name val="ＭＳ ゴシック"/>
      <family val="3"/>
      <charset val="128"/>
    </font>
    <font>
      <sz val="6"/>
      <name val="ＭＳ Ｐゴシック"/>
      <family val="2"/>
      <charset val="128"/>
      <scheme val="minor"/>
    </font>
    <font>
      <u/>
      <sz val="11"/>
      <color theme="10"/>
      <name val="ＭＳ ゴシック"/>
      <family val="2"/>
      <charset val="128"/>
    </font>
    <font>
      <sz val="10.5"/>
      <color theme="1"/>
      <name val="ＭＳ 明朝"/>
      <family val="1"/>
      <charset val="128"/>
    </font>
    <font>
      <sz val="9"/>
      <color theme="1"/>
      <name val="ＭＳ 明朝"/>
      <family val="1"/>
      <charset val="128"/>
    </font>
    <font>
      <b/>
      <sz val="12"/>
      <color theme="1"/>
      <name val="游ゴシック"/>
      <family val="3"/>
      <charset val="128"/>
    </font>
    <font>
      <sz val="8"/>
      <color theme="1"/>
      <name val="游ゴシック"/>
      <family val="3"/>
      <charset val="128"/>
    </font>
    <font>
      <sz val="6"/>
      <color theme="1"/>
      <name val="ＭＳ 明朝"/>
      <family val="1"/>
      <charset val="128"/>
    </font>
    <font>
      <sz val="11"/>
      <color indexed="8"/>
      <name val="ＭＳ Ｐゴシック"/>
      <family val="3"/>
      <charset val="128"/>
    </font>
    <font>
      <b/>
      <sz val="36"/>
      <color rgb="FFFF0000"/>
      <name val="ＭＳ ゴシック"/>
      <family val="3"/>
      <charset val="128"/>
    </font>
    <font>
      <b/>
      <sz val="11"/>
      <color rgb="FFFF0000"/>
      <name val="ＭＳ ゴシック"/>
      <family val="3"/>
      <charset val="128"/>
    </font>
    <font>
      <sz val="10.5"/>
      <name val="ＭＳ 明朝"/>
      <family val="1"/>
      <charset val="128"/>
    </font>
    <font>
      <b/>
      <sz val="10.5"/>
      <color rgb="FFF00000"/>
      <name val="ＭＳ 明朝"/>
      <family val="1"/>
      <charset val="128"/>
    </font>
    <font>
      <sz val="10"/>
      <name val="ＭＳ Ｐゴシック"/>
      <family val="3"/>
      <charset val="128"/>
    </font>
    <font>
      <sz val="10"/>
      <color rgb="FF000000"/>
      <name val="ＭＳ 明朝"/>
      <family val="1"/>
      <charset val="128"/>
    </font>
    <font>
      <sz val="10"/>
      <color theme="1"/>
      <name val="ＭＳ 明朝"/>
      <family val="1"/>
      <charset val="128"/>
    </font>
    <font>
      <sz val="12"/>
      <color theme="1"/>
      <name val="游ゴシック"/>
      <family val="3"/>
      <charset val="128"/>
    </font>
    <font>
      <sz val="11"/>
      <color theme="1"/>
      <name val="Meiryo UI"/>
      <family val="3"/>
      <charset val="128"/>
    </font>
    <font>
      <b/>
      <sz val="14"/>
      <color theme="1"/>
      <name val="Meiryo UI"/>
      <family val="3"/>
      <charset val="128"/>
    </font>
    <font>
      <b/>
      <sz val="12"/>
      <color theme="1"/>
      <name val="Meiryo UI"/>
      <family val="3"/>
      <charset val="128"/>
    </font>
    <font>
      <sz val="20"/>
      <color theme="0"/>
      <name val="Meiryo UI"/>
      <family val="3"/>
      <charset val="128"/>
    </font>
    <font>
      <sz val="10"/>
      <color theme="1"/>
      <name val="Meiryo UI"/>
      <family val="3"/>
      <charset val="128"/>
    </font>
    <font>
      <b/>
      <u/>
      <sz val="11"/>
      <color theme="0"/>
      <name val="Meiryo UI"/>
      <family val="3"/>
      <charset val="128"/>
    </font>
    <font>
      <sz val="11"/>
      <color theme="0"/>
      <name val="Meiryo UI"/>
      <family val="3"/>
      <charset val="128"/>
    </font>
    <font>
      <u/>
      <sz val="11"/>
      <color rgb="FFFF0000"/>
      <name val="Meiryo UI"/>
      <family val="3"/>
      <charset val="128"/>
    </font>
    <font>
      <b/>
      <sz val="11"/>
      <color rgb="FFFF0000"/>
      <name val="Meiryo UI"/>
      <family val="3"/>
      <charset val="128"/>
    </font>
    <font>
      <b/>
      <sz val="11"/>
      <color theme="1"/>
      <name val="Meiryo UI"/>
      <family val="3"/>
      <charset val="128"/>
    </font>
    <font>
      <b/>
      <u/>
      <sz val="11"/>
      <color rgb="FFFF0000"/>
      <name val="Meiryo UI"/>
      <family val="3"/>
      <charset val="128"/>
    </font>
    <font>
      <b/>
      <u/>
      <sz val="11"/>
      <color theme="1"/>
      <name val="Meiryo UI"/>
      <family val="3"/>
      <charset val="128"/>
    </font>
    <font>
      <sz val="10"/>
      <color theme="0"/>
      <name val="Meiryo UI"/>
      <family val="3"/>
      <charset val="128"/>
    </font>
    <font>
      <sz val="11"/>
      <name val="Meiryo UI"/>
      <family val="3"/>
      <charset val="128"/>
    </font>
    <font>
      <sz val="10"/>
      <name val="Meiryo UI"/>
      <family val="3"/>
      <charset val="128"/>
    </font>
    <font>
      <b/>
      <sz val="11"/>
      <name val="Meiryo UI"/>
      <family val="3"/>
      <charset val="128"/>
    </font>
    <font>
      <sz val="9"/>
      <color theme="1"/>
      <name val="Meiryo UI"/>
      <family val="3"/>
      <charset val="128"/>
    </font>
    <font>
      <b/>
      <sz val="10"/>
      <color rgb="FFFF0000"/>
      <name val="Meiryo UI"/>
      <family val="3"/>
      <charset val="128"/>
    </font>
    <font>
      <sz val="16"/>
      <color theme="1"/>
      <name val="Meiryo UI"/>
      <family val="3"/>
      <charset val="128"/>
    </font>
    <font>
      <b/>
      <u/>
      <sz val="16"/>
      <color theme="1"/>
      <name val="Meiryo UI"/>
      <family val="3"/>
      <charset val="128"/>
    </font>
    <font>
      <u/>
      <sz val="11"/>
      <color theme="10"/>
      <name val="Meiryo UI"/>
      <family val="3"/>
      <charset val="128"/>
    </font>
    <font>
      <b/>
      <sz val="11"/>
      <color rgb="FFFF0000"/>
      <name val="ＭＳ Ｐゴシック"/>
      <family val="3"/>
      <charset val="128"/>
      <scheme val="minor"/>
    </font>
  </fonts>
  <fills count="1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rgb="FFFFFF66"/>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F00000"/>
      </left>
      <right/>
      <top style="medium">
        <color rgb="FFF00000"/>
      </top>
      <bottom style="medium">
        <color rgb="FFF00000"/>
      </bottom>
      <diagonal/>
    </border>
    <border>
      <left/>
      <right/>
      <top style="medium">
        <color rgb="FFF00000"/>
      </top>
      <bottom style="medium">
        <color rgb="FFF00000"/>
      </bottom>
      <diagonal/>
    </border>
    <border>
      <left/>
      <right style="medium">
        <color rgb="FFF00000"/>
      </right>
      <top style="medium">
        <color rgb="FFF00000"/>
      </top>
      <bottom style="medium">
        <color rgb="FFF00000"/>
      </bottom>
      <diagonal/>
    </border>
  </borders>
  <cellStyleXfs count="8">
    <xf numFmtId="0" fontId="0" fillId="0" borderId="0">
      <alignment vertical="center"/>
    </xf>
    <xf numFmtId="0" fontId="11" fillId="0" borderId="0" applyNumberFormat="0" applyFill="0" applyBorder="0" applyAlignment="0" applyProtection="0">
      <alignment vertical="center"/>
    </xf>
    <xf numFmtId="6" fontId="10" fillId="0" borderId="0" applyFont="0" applyFill="0" applyBorder="0" applyAlignment="0" applyProtection="0">
      <alignment vertical="center"/>
    </xf>
    <xf numFmtId="0" fontId="14" fillId="0" borderId="0" applyNumberFormat="0" applyFill="0" applyBorder="0" applyAlignment="0" applyProtection="0">
      <alignment vertical="center"/>
    </xf>
    <xf numFmtId="38" fontId="10" fillId="0" borderId="0" applyFont="0" applyFill="0" applyBorder="0" applyAlignment="0" applyProtection="0">
      <alignment vertical="center"/>
    </xf>
    <xf numFmtId="0" fontId="9" fillId="0" borderId="0">
      <alignment vertical="center"/>
    </xf>
    <xf numFmtId="6" fontId="10" fillId="0" borderId="0" applyFont="0" applyFill="0" applyBorder="0" applyAlignment="0" applyProtection="0">
      <alignment vertical="center"/>
    </xf>
    <xf numFmtId="0" fontId="5" fillId="0" borderId="0">
      <alignment vertical="center"/>
    </xf>
  </cellStyleXfs>
  <cellXfs count="286">
    <xf numFmtId="0" fontId="0" fillId="0" borderId="0" xfId="0">
      <alignment vertical="center"/>
    </xf>
    <xf numFmtId="0" fontId="32" fillId="12" borderId="0" xfId="0" applyFont="1" applyFill="1" applyAlignment="1" applyProtection="1">
      <alignment horizontal="center" vertical="center"/>
      <protection hidden="1"/>
    </xf>
    <xf numFmtId="0" fontId="12" fillId="0" borderId="0" xfId="0" applyFont="1">
      <alignment vertical="center"/>
    </xf>
    <xf numFmtId="0" fontId="0" fillId="0" borderId="0" xfId="0" applyAlignment="1">
      <alignment vertical="center" wrapText="1"/>
    </xf>
    <xf numFmtId="0" fontId="0" fillId="0" borderId="5" xfId="0" applyBorder="1">
      <alignment vertical="center"/>
    </xf>
    <xf numFmtId="0" fontId="0" fillId="4" borderId="5" xfId="0" applyFill="1" applyBorder="1">
      <alignment vertical="center"/>
    </xf>
    <xf numFmtId="0" fontId="0" fillId="4" borderId="9" xfId="0" applyFill="1" applyBorder="1">
      <alignment vertical="center"/>
    </xf>
    <xf numFmtId="0" fontId="0" fillId="4" borderId="10" xfId="0" applyFill="1" applyBorder="1">
      <alignment vertical="center"/>
    </xf>
    <xf numFmtId="0" fontId="0" fillId="4" borderId="11" xfId="0" applyFill="1" applyBorder="1">
      <alignment vertical="center"/>
    </xf>
    <xf numFmtId="0" fontId="0" fillId="4" borderId="5" xfId="0" applyFill="1" applyBorder="1" applyAlignment="1">
      <alignment vertical="center" wrapText="1"/>
    </xf>
    <xf numFmtId="0" fontId="0" fillId="3" borderId="5" xfId="0" applyFill="1" applyBorder="1">
      <alignment vertical="center"/>
    </xf>
    <xf numFmtId="0" fontId="0" fillId="8" borderId="0" xfId="0" applyFill="1" applyAlignment="1">
      <alignment vertical="center" wrapText="1"/>
    </xf>
    <xf numFmtId="0" fontId="0" fillId="2" borderId="5" xfId="0" applyFill="1" applyBorder="1">
      <alignment vertical="center"/>
    </xf>
    <xf numFmtId="0" fontId="0" fillId="2" borderId="5" xfId="0" quotePrefix="1" applyFill="1" applyBorder="1">
      <alignment vertical="center"/>
    </xf>
    <xf numFmtId="6" fontId="0" fillId="2" borderId="5" xfId="2" applyFont="1" applyFill="1" applyBorder="1">
      <alignment vertical="center"/>
    </xf>
    <xf numFmtId="0" fontId="0" fillId="13" borderId="0" xfId="0" applyFill="1">
      <alignment vertical="center"/>
    </xf>
    <xf numFmtId="6" fontId="0" fillId="3" borderId="5" xfId="2" applyFont="1" applyFill="1" applyBorder="1">
      <alignment vertical="center"/>
    </xf>
    <xf numFmtId="6" fontId="0" fillId="0" borderId="5" xfId="2" applyFont="1" applyFill="1" applyBorder="1">
      <alignment vertical="center"/>
    </xf>
    <xf numFmtId="0" fontId="0" fillId="4" borderId="0" xfId="0" applyFill="1">
      <alignment vertical="center"/>
    </xf>
    <xf numFmtId="0" fontId="0" fillId="4" borderId="5" xfId="0" applyFill="1" applyBorder="1" applyAlignment="1">
      <alignment horizontal="left" vertical="center"/>
    </xf>
    <xf numFmtId="0" fontId="15" fillId="0" borderId="0" xfId="0" applyFo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right" vertical="center"/>
      <protection hidden="1"/>
    </xf>
    <xf numFmtId="0" fontId="15" fillId="0" borderId="0" xfId="0" applyFont="1" applyAlignment="1" applyProtection="1">
      <alignment horizontal="left" vertical="center"/>
      <protection hidden="1"/>
    </xf>
    <xf numFmtId="0" fontId="9" fillId="0" borderId="0" xfId="5">
      <alignment vertical="center"/>
    </xf>
    <xf numFmtId="0" fontId="9" fillId="0" borderId="0" xfId="5" applyAlignment="1">
      <alignment horizontal="right" vertical="center"/>
    </xf>
    <xf numFmtId="0" fontId="9" fillId="0" borderId="0" xfId="5" applyAlignment="1"/>
    <xf numFmtId="0" fontId="9" fillId="0" borderId="0" xfId="5" applyAlignment="1">
      <alignment horizontal="left" vertical="center"/>
    </xf>
    <xf numFmtId="0" fontId="20" fillId="0" borderId="0" xfId="5" applyFont="1">
      <alignment vertical="center"/>
    </xf>
    <xf numFmtId="49" fontId="9" fillId="0" borderId="0" xfId="5" applyNumberFormat="1" applyAlignment="1">
      <alignment horizontal="left" vertical="center"/>
    </xf>
    <xf numFmtId="0" fontId="0" fillId="5" borderId="5" xfId="0" applyFill="1" applyBorder="1" applyAlignment="1">
      <alignment horizontal="centerContinuous" vertical="center" wrapText="1"/>
    </xf>
    <xf numFmtId="0" fontId="0" fillId="5" borderId="0" xfId="0" applyFill="1" applyAlignment="1">
      <alignment vertical="center" wrapText="1"/>
    </xf>
    <xf numFmtId="0" fontId="8" fillId="0" borderId="0" xfId="0" applyFont="1" applyAlignment="1">
      <alignment horizontal="left" vertical="center"/>
    </xf>
    <xf numFmtId="0" fontId="0" fillId="9" borderId="0" xfId="0" applyFill="1" applyAlignment="1">
      <alignment horizontal="left" vertical="center"/>
    </xf>
    <xf numFmtId="0" fontId="0" fillId="0" borderId="5" xfId="0" quotePrefix="1" applyBorder="1">
      <alignment vertical="center"/>
    </xf>
    <xf numFmtId="0" fontId="0" fillId="2" borderId="11" xfId="0" quotePrefix="1" applyFill="1" applyBorder="1">
      <alignment vertical="center"/>
    </xf>
    <xf numFmtId="0" fontId="0" fillId="5" borderId="16" xfId="0" applyFill="1" applyBorder="1" applyAlignment="1">
      <alignment horizontal="centerContinuous" vertical="center" wrapText="1"/>
    </xf>
    <xf numFmtId="0" fontId="0" fillId="5" borderId="0" xfId="0" applyFill="1" applyAlignment="1">
      <alignment horizontal="centerContinuous" vertical="center" wrapText="1"/>
    </xf>
    <xf numFmtId="0" fontId="0" fillId="5" borderId="17" xfId="0" applyFill="1" applyBorder="1" applyAlignment="1">
      <alignment horizontal="centerContinuous" vertical="center" wrapText="1"/>
    </xf>
    <xf numFmtId="0" fontId="0" fillId="3" borderId="0" xfId="0" applyFill="1">
      <alignment vertical="center"/>
    </xf>
    <xf numFmtId="14" fontId="0" fillId="3" borderId="0" xfId="0" applyNumberFormat="1" applyFill="1">
      <alignment vertical="center"/>
    </xf>
    <xf numFmtId="0" fontId="0" fillId="5" borderId="0" xfId="0" applyFill="1">
      <alignment vertical="center"/>
    </xf>
    <xf numFmtId="6" fontId="0" fillId="0" borderId="5" xfId="2" applyFont="1" applyBorder="1">
      <alignment vertical="center"/>
    </xf>
    <xf numFmtId="0" fontId="0" fillId="9" borderId="0" xfId="0" applyFill="1" applyAlignment="1">
      <alignment horizontal="left" vertical="center" wrapText="1"/>
    </xf>
    <xf numFmtId="0" fontId="21" fillId="2" borderId="5" xfId="0" applyFont="1" applyFill="1" applyBorder="1">
      <alignment vertical="center"/>
    </xf>
    <xf numFmtId="0" fontId="0" fillId="4" borderId="11" xfId="0" applyFill="1" applyBorder="1" applyAlignment="1">
      <alignment vertical="center" wrapText="1"/>
    </xf>
    <xf numFmtId="0" fontId="0" fillId="0" borderId="19" xfId="0" applyBorder="1">
      <alignment vertical="center"/>
    </xf>
    <xf numFmtId="0" fontId="0" fillId="0" borderId="12" xfId="0" applyBorder="1">
      <alignment vertical="center"/>
    </xf>
    <xf numFmtId="0" fontId="22" fillId="13" borderId="18" xfId="0" applyFont="1" applyFill="1" applyBorder="1">
      <alignment vertical="center"/>
    </xf>
    <xf numFmtId="38" fontId="17" fillId="0" borderId="0" xfId="4" applyFont="1" applyAlignment="1" applyProtection="1">
      <alignment vertical="center"/>
      <protection hidden="1"/>
    </xf>
    <xf numFmtId="0" fontId="16" fillId="0" borderId="0" xfId="0" applyFont="1" applyProtection="1">
      <alignment vertical="center"/>
      <protection hidden="1"/>
    </xf>
    <xf numFmtId="0" fontId="19" fillId="0" borderId="9" xfId="0" applyFont="1" applyBorder="1" applyAlignment="1" applyProtection="1">
      <alignment horizontal="left" vertical="center"/>
      <protection hidden="1"/>
    </xf>
    <xf numFmtId="0" fontId="17" fillId="0" borderId="0" xfId="0" applyFont="1" applyAlignment="1" applyProtection="1">
      <alignment horizontal="center" vertical="center" shrinkToFit="1"/>
      <protection hidden="1"/>
    </xf>
    <xf numFmtId="0" fontId="16" fillId="0" borderId="0" xfId="0" quotePrefix="1" applyFont="1" applyProtection="1">
      <alignment vertical="center"/>
      <protection hidden="1"/>
    </xf>
    <xf numFmtId="0" fontId="0" fillId="4" borderId="8" xfId="0" applyFill="1" applyBorder="1">
      <alignment vertical="center"/>
    </xf>
    <xf numFmtId="0" fontId="0" fillId="4" borderId="7" xfId="0" applyFill="1" applyBorder="1" applyAlignment="1">
      <alignment vertical="center" wrapText="1"/>
    </xf>
    <xf numFmtId="38" fontId="0" fillId="0" borderId="5" xfId="4" applyFont="1" applyBorder="1">
      <alignment vertical="center"/>
    </xf>
    <xf numFmtId="49" fontId="9" fillId="0" borderId="0" xfId="5" applyNumberFormat="1">
      <alignment vertical="center"/>
    </xf>
    <xf numFmtId="0" fontId="20" fillId="0" borderId="0" xfId="0" applyFont="1">
      <alignment vertical="center"/>
    </xf>
    <xf numFmtId="0" fontId="8" fillId="0" borderId="0" xfId="0" applyFont="1">
      <alignment vertical="center"/>
    </xf>
    <xf numFmtId="0" fontId="4" fillId="0" borderId="0" xfId="5" applyFont="1">
      <alignment vertical="center"/>
    </xf>
    <xf numFmtId="0" fontId="23" fillId="0" borderId="0" xfId="0" applyFont="1" applyProtection="1">
      <alignment vertical="center"/>
      <protection hidden="1"/>
    </xf>
    <xf numFmtId="0" fontId="24" fillId="0" borderId="0" xfId="0" applyFont="1" applyProtection="1">
      <alignment vertical="center"/>
      <protection hidden="1"/>
    </xf>
    <xf numFmtId="0" fontId="0" fillId="13" borderId="5" xfId="0" applyFill="1" applyBorder="1" applyProtection="1">
      <alignment vertical="center"/>
      <protection locked="0"/>
    </xf>
    <xf numFmtId="0" fontId="4" fillId="0" borderId="0" xfId="5" applyFont="1" applyAlignment="1"/>
    <xf numFmtId="0" fontId="4" fillId="0" borderId="0" xfId="5" applyFont="1" applyAlignment="1">
      <alignment horizontal="left" vertical="center"/>
    </xf>
    <xf numFmtId="0" fontId="25" fillId="0" borderId="0" xfId="0" applyFont="1" applyAlignment="1">
      <alignment horizontal="center" vertical="center" shrinkToFit="1"/>
    </xf>
    <xf numFmtId="0" fontId="0" fillId="4" borderId="5" xfId="0" applyFill="1" applyBorder="1" applyAlignment="1">
      <alignment horizontal="center" vertical="center"/>
    </xf>
    <xf numFmtId="0" fontId="0" fillId="13" borderId="5" xfId="0" applyFill="1" applyBorder="1" applyAlignment="1">
      <alignment horizontal="center" vertical="center"/>
    </xf>
    <xf numFmtId="0" fontId="0" fillId="0" borderId="0" xfId="0" applyAlignment="1">
      <alignment horizontal="center" vertical="center" shrinkToFit="1"/>
    </xf>
    <xf numFmtId="0" fontId="17" fillId="0" borderId="10" xfId="0" applyFont="1" applyBorder="1" applyAlignment="1" applyProtection="1">
      <alignment vertical="center" shrinkToFit="1"/>
      <protection hidden="1"/>
    </xf>
    <xf numFmtId="0" fontId="17" fillId="0" borderId="11" xfId="0" applyFont="1" applyBorder="1" applyAlignment="1" applyProtection="1">
      <alignment vertical="center" shrinkToFit="1"/>
      <protection hidden="1"/>
    </xf>
    <xf numFmtId="0" fontId="26" fillId="0" borderId="0" xfId="0" applyFont="1" applyAlignment="1">
      <alignment horizontal="left" vertical="center"/>
    </xf>
    <xf numFmtId="0" fontId="27" fillId="0" borderId="0" xfId="0" applyFont="1" applyAlignment="1">
      <alignment horizontal="left" vertical="center" indent="3"/>
    </xf>
    <xf numFmtId="0" fontId="15" fillId="0" borderId="0" xfId="0" applyFont="1" applyAlignment="1">
      <alignment horizontal="justify" vertical="center"/>
    </xf>
    <xf numFmtId="0" fontId="17" fillId="0" borderId="9" xfId="0" applyFont="1" applyBorder="1" applyAlignment="1" applyProtection="1">
      <alignment vertical="center" shrinkToFit="1"/>
      <protection hidden="1"/>
    </xf>
    <xf numFmtId="0" fontId="3" fillId="0" borderId="0" xfId="5" applyFont="1">
      <alignment vertical="center"/>
    </xf>
    <xf numFmtId="0" fontId="2" fillId="0" borderId="0" xfId="5" applyFont="1">
      <alignment vertical="center"/>
    </xf>
    <xf numFmtId="0" fontId="29" fillId="0" borderId="0" xfId="0" applyFont="1" applyAlignment="1" applyProtection="1">
      <alignment horizontal="left" vertical="center"/>
      <protection hidden="1"/>
    </xf>
    <xf numFmtId="0" fontId="30" fillId="0" borderId="0" xfId="0" applyFont="1" applyAlignment="1" applyProtection="1">
      <alignment horizontal="left" vertical="center"/>
      <protection hidden="1"/>
    </xf>
    <xf numFmtId="0" fontId="29" fillId="0" borderId="0" xfId="0" applyFont="1" applyAlignment="1" applyProtection="1">
      <alignment horizontal="right" vertical="center"/>
      <protection hidden="1"/>
    </xf>
    <xf numFmtId="0" fontId="33" fillId="0" borderId="0" xfId="0" applyFont="1" applyAlignment="1" applyProtection="1">
      <alignment horizontal="left" vertical="center" wrapText="1"/>
      <protection hidden="1"/>
    </xf>
    <xf numFmtId="0" fontId="34" fillId="0" borderId="0" xfId="0" applyFont="1" applyAlignment="1" applyProtection="1">
      <alignment horizontal="left" vertical="center"/>
      <protection hidden="1"/>
    </xf>
    <xf numFmtId="0" fontId="35" fillId="0" borderId="0" xfId="0" applyFont="1" applyAlignment="1" applyProtection="1">
      <alignment horizontal="left" vertical="center"/>
      <protection hidden="1"/>
    </xf>
    <xf numFmtId="0" fontId="29" fillId="0" borderId="0" xfId="0" applyFont="1" applyProtection="1">
      <alignment vertical="center"/>
      <protection hidden="1"/>
    </xf>
    <xf numFmtId="0" fontId="33" fillId="0" borderId="0" xfId="0" applyFont="1" applyProtection="1">
      <alignment vertical="center"/>
      <protection hidden="1"/>
    </xf>
    <xf numFmtId="0" fontId="29" fillId="10" borderId="0" xfId="0" applyFont="1" applyFill="1" applyAlignment="1" applyProtection="1">
      <alignment horizontal="left" vertical="center"/>
      <protection hidden="1"/>
    </xf>
    <xf numFmtId="0" fontId="36" fillId="10" borderId="0" xfId="0" applyFont="1" applyFill="1" applyAlignment="1" applyProtection="1">
      <alignment horizontal="left" vertical="center"/>
      <protection hidden="1"/>
    </xf>
    <xf numFmtId="0" fontId="37" fillId="10" borderId="0" xfId="0" applyFont="1" applyFill="1" applyAlignment="1" applyProtection="1">
      <alignment horizontal="right" vertical="center"/>
      <protection hidden="1"/>
    </xf>
    <xf numFmtId="0" fontId="29" fillId="3" borderId="1" xfId="0" applyFont="1" applyFill="1" applyBorder="1" applyAlignment="1" applyProtection="1">
      <alignment horizontal="right" vertical="center"/>
      <protection locked="0"/>
    </xf>
    <xf numFmtId="0" fontId="38" fillId="9" borderId="0" xfId="0" applyFont="1" applyFill="1" applyAlignment="1" applyProtection="1">
      <alignment horizontal="right" vertical="center"/>
      <protection hidden="1"/>
    </xf>
    <xf numFmtId="0" fontId="37" fillId="9" borderId="0" xfId="0" applyFont="1" applyFill="1" applyAlignment="1" applyProtection="1">
      <alignment horizontal="right" vertical="center"/>
      <protection hidden="1"/>
    </xf>
    <xf numFmtId="49" fontId="29" fillId="3" borderId="1" xfId="0" applyNumberFormat="1" applyFont="1" applyFill="1" applyBorder="1" applyAlignment="1" applyProtection="1">
      <alignment horizontal="left" vertical="center"/>
      <protection locked="0"/>
    </xf>
    <xf numFmtId="0" fontId="29" fillId="9" borderId="0" xfId="0" applyFont="1" applyFill="1" applyAlignment="1" applyProtection="1">
      <alignment horizontal="center" vertical="center"/>
      <protection hidden="1"/>
    </xf>
    <xf numFmtId="0" fontId="29" fillId="3" borderId="1" xfId="0" applyFont="1" applyFill="1" applyBorder="1" applyAlignment="1" applyProtection="1">
      <alignment horizontal="left" vertical="center"/>
      <protection locked="0"/>
    </xf>
    <xf numFmtId="0" fontId="38" fillId="9" borderId="0" xfId="0" applyFont="1" applyFill="1" applyAlignment="1" applyProtection="1">
      <alignment horizontal="left" vertical="center"/>
      <protection hidden="1"/>
    </xf>
    <xf numFmtId="0" fontId="39" fillId="9" borderId="0" xfId="0" applyFont="1" applyFill="1" applyAlignment="1" applyProtection="1">
      <alignment horizontal="left" vertical="center"/>
      <protection hidden="1"/>
    </xf>
    <xf numFmtId="0" fontId="29" fillId="9" borderId="0" xfId="0" applyFont="1" applyFill="1" applyAlignment="1" applyProtection="1">
      <alignment horizontal="right" vertical="center"/>
      <protection hidden="1"/>
    </xf>
    <xf numFmtId="0" fontId="29" fillId="9" borderId="0" xfId="0" applyFont="1" applyFill="1" applyAlignment="1" applyProtection="1">
      <alignment vertical="center" wrapText="1"/>
      <protection hidden="1"/>
    </xf>
    <xf numFmtId="0" fontId="37" fillId="9" borderId="0" xfId="0" applyFont="1" applyFill="1" applyAlignment="1" applyProtection="1">
      <alignment horizontal="right" vertical="center" textRotation="255"/>
      <protection hidden="1"/>
    </xf>
    <xf numFmtId="0" fontId="29" fillId="3" borderId="1" xfId="0" applyFont="1" applyFill="1" applyBorder="1" applyProtection="1">
      <alignment vertical="center"/>
      <protection locked="0"/>
    </xf>
    <xf numFmtId="0" fontId="29" fillId="9" borderId="0" xfId="0" applyFont="1" applyFill="1" applyProtection="1">
      <alignment vertical="center"/>
      <protection hidden="1"/>
    </xf>
    <xf numFmtId="0" fontId="29" fillId="4" borderId="5" xfId="0" applyFont="1" applyFill="1" applyBorder="1" applyProtection="1">
      <alignment vertical="center"/>
      <protection hidden="1"/>
    </xf>
    <xf numFmtId="0" fontId="41" fillId="0" borderId="0" xfId="0" applyFont="1" applyAlignment="1" applyProtection="1">
      <alignment horizontal="left" vertical="center" wrapText="1"/>
      <protection hidden="1"/>
    </xf>
    <xf numFmtId="0" fontId="29" fillId="9" borderId="0" xfId="0" applyFont="1" applyFill="1" applyAlignment="1" applyProtection="1">
      <alignment horizontal="left" vertical="center" shrinkToFit="1"/>
      <protection hidden="1"/>
    </xf>
    <xf numFmtId="0" fontId="38" fillId="9" borderId="0" xfId="0" applyFont="1" applyFill="1" applyAlignment="1" applyProtection="1">
      <alignment vertical="center" shrinkToFit="1"/>
      <protection hidden="1"/>
    </xf>
    <xf numFmtId="0" fontId="38" fillId="9" borderId="0" xfId="0" applyFont="1" applyFill="1" applyProtection="1">
      <alignment vertical="center"/>
      <protection hidden="1"/>
    </xf>
    <xf numFmtId="0" fontId="38" fillId="9" borderId="0" xfId="0" applyFont="1" applyFill="1" applyAlignment="1" applyProtection="1">
      <alignment vertical="top" textRotation="255"/>
      <protection hidden="1"/>
    </xf>
    <xf numFmtId="0" fontId="42" fillId="9" borderId="0" xfId="0" applyFont="1" applyFill="1" applyAlignment="1" applyProtection="1">
      <alignment vertical="center" wrapText="1"/>
      <protection hidden="1"/>
    </xf>
    <xf numFmtId="0" fontId="42" fillId="9" borderId="0" xfId="0" applyFont="1" applyFill="1" applyAlignment="1" applyProtection="1">
      <alignment horizontal="left" vertical="center"/>
      <protection hidden="1"/>
    </xf>
    <xf numFmtId="0" fontId="40" fillId="9" borderId="0" xfId="0" applyFont="1" applyFill="1" applyProtection="1">
      <alignment vertical="center"/>
      <protection hidden="1"/>
    </xf>
    <xf numFmtId="0" fontId="38" fillId="9" borderId="0" xfId="0" applyFont="1" applyFill="1" applyAlignment="1" applyProtection="1">
      <alignment horizontal="left" vertical="center" wrapText="1"/>
      <protection hidden="1"/>
    </xf>
    <xf numFmtId="0" fontId="42" fillId="9" borderId="0" xfId="0" applyFont="1" applyFill="1" applyAlignment="1" applyProtection="1">
      <alignment horizontal="center" vertical="center" wrapText="1"/>
      <protection hidden="1"/>
    </xf>
    <xf numFmtId="0" fontId="44" fillId="9" borderId="0" xfId="0" applyFont="1" applyFill="1" applyAlignment="1" applyProtection="1">
      <alignment horizontal="center" vertical="center" wrapText="1"/>
      <protection hidden="1"/>
    </xf>
    <xf numFmtId="0" fontId="38" fillId="9" borderId="0" xfId="0" applyFont="1" applyFill="1" applyAlignment="1" applyProtection="1">
      <alignment horizontal="center" vertical="center"/>
      <protection hidden="1"/>
    </xf>
    <xf numFmtId="0" fontId="29" fillId="0" borderId="0" xfId="0" applyFont="1" applyAlignment="1" applyProtection="1">
      <alignment horizontal="left" vertical="center" wrapText="1"/>
      <protection hidden="1"/>
    </xf>
    <xf numFmtId="0" fontId="42" fillId="0" borderId="0" xfId="0" applyFont="1" applyAlignment="1" applyProtection="1">
      <alignment horizontal="left" vertical="center"/>
      <protection hidden="1"/>
    </xf>
    <xf numFmtId="6" fontId="29" fillId="3" borderId="1" xfId="2" applyFont="1" applyFill="1" applyBorder="1" applyAlignment="1" applyProtection="1">
      <alignment horizontal="right" vertical="center"/>
      <protection locked="0"/>
    </xf>
    <xf numFmtId="6" fontId="29" fillId="9" borderId="0" xfId="2" applyFont="1" applyFill="1" applyAlignment="1" applyProtection="1">
      <alignment horizontal="right" vertical="center"/>
      <protection hidden="1"/>
    </xf>
    <xf numFmtId="6" fontId="38" fillId="5" borderId="6" xfId="2" applyFont="1" applyFill="1" applyBorder="1" applyAlignment="1" applyProtection="1">
      <alignment horizontal="right" vertical="center"/>
      <protection hidden="1"/>
    </xf>
    <xf numFmtId="0" fontId="38" fillId="9" borderId="0" xfId="0" quotePrefix="1" applyFont="1" applyFill="1" applyAlignment="1" applyProtection="1">
      <alignment horizontal="center" vertical="center"/>
      <protection hidden="1"/>
    </xf>
    <xf numFmtId="0" fontId="46" fillId="3" borderId="0" xfId="0" applyFont="1" applyFill="1" applyAlignment="1" applyProtection="1">
      <alignment vertical="center" wrapText="1"/>
      <protection hidden="1"/>
    </xf>
    <xf numFmtId="0" fontId="46" fillId="0" borderId="0" xfId="0" applyFont="1" applyAlignment="1" applyProtection="1">
      <alignment vertical="center" wrapText="1"/>
      <protection hidden="1"/>
    </xf>
    <xf numFmtId="0" fontId="43" fillId="0" borderId="0" xfId="0" applyFont="1" applyAlignment="1" applyProtection="1">
      <alignment vertical="center" wrapText="1"/>
      <protection hidden="1"/>
    </xf>
    <xf numFmtId="0" fontId="44" fillId="0" borderId="0" xfId="0" applyFont="1" applyAlignment="1" applyProtection="1">
      <alignment horizontal="left" vertical="center"/>
      <protection hidden="1"/>
    </xf>
    <xf numFmtId="0" fontId="37" fillId="0" borderId="0" xfId="0" applyFont="1" applyAlignment="1" applyProtection="1">
      <alignment horizontal="left" vertical="center"/>
      <protection hidden="1"/>
    </xf>
    <xf numFmtId="49" fontId="29" fillId="0" borderId="1" xfId="0" applyNumberFormat="1" applyFont="1" applyBorder="1" applyAlignment="1" applyProtection="1">
      <alignment horizontal="left" vertical="center" shrinkToFit="1"/>
      <protection locked="0"/>
    </xf>
    <xf numFmtId="6" fontId="29" fillId="10" borderId="0" xfId="2" applyFont="1" applyFill="1" applyAlignment="1" applyProtection="1">
      <alignment horizontal="right" vertical="center"/>
    </xf>
    <xf numFmtId="6" fontId="29" fillId="5" borderId="6" xfId="2" applyFont="1" applyFill="1" applyBorder="1" applyAlignment="1" applyProtection="1">
      <alignment horizontal="right" vertical="center"/>
    </xf>
    <xf numFmtId="0" fontId="29" fillId="9" borderId="0" xfId="0" applyFont="1" applyFill="1" applyAlignment="1" applyProtection="1">
      <alignment horizontal="center" vertical="center" wrapText="1"/>
      <protection hidden="1"/>
    </xf>
    <xf numFmtId="0" fontId="29" fillId="9" borderId="0" xfId="0" applyFont="1" applyFill="1" applyAlignment="1" applyProtection="1">
      <alignment horizontal="left" vertical="center" wrapText="1"/>
      <protection hidden="1"/>
    </xf>
    <xf numFmtId="0" fontId="29" fillId="9" borderId="0" xfId="0" applyFont="1" applyFill="1" applyAlignment="1" applyProtection="1">
      <alignment horizontal="left" vertical="center"/>
      <protection hidden="1"/>
    </xf>
    <xf numFmtId="49" fontId="29" fillId="0" borderId="1" xfId="0" applyNumberFormat="1" applyFont="1" applyBorder="1" applyAlignment="1" applyProtection="1">
      <alignment vertical="center" shrinkToFit="1"/>
      <protection locked="0"/>
    </xf>
    <xf numFmtId="49" fontId="29" fillId="5" borderId="6" xfId="0" applyNumberFormat="1" applyFont="1" applyFill="1" applyBorder="1" applyAlignment="1" applyProtection="1">
      <alignment vertical="center" shrinkToFit="1"/>
      <protection hidden="1"/>
    </xf>
    <xf numFmtId="0" fontId="1" fillId="0" borderId="0" xfId="5" applyFont="1">
      <alignment vertical="center"/>
    </xf>
    <xf numFmtId="0" fontId="31" fillId="0" borderId="0" xfId="0" applyFont="1" applyAlignment="1" applyProtection="1">
      <alignment horizontal="right" vertical="center"/>
    </xf>
    <xf numFmtId="0" fontId="29" fillId="4" borderId="0" xfId="0" applyFont="1" applyFill="1" applyAlignment="1" applyProtection="1">
      <alignment horizontal="left" vertical="center"/>
      <protection hidden="1"/>
    </xf>
    <xf numFmtId="0" fontId="29" fillId="4" borderId="0" xfId="0" applyFont="1" applyFill="1" applyAlignment="1" applyProtection="1">
      <alignment horizontal="centerContinuous" vertical="center"/>
      <protection hidden="1"/>
    </xf>
    <xf numFmtId="0" fontId="39" fillId="9" borderId="0" xfId="0" applyFont="1" applyFill="1" applyAlignment="1" applyProtection="1">
      <alignment horizontal="left" vertical="center"/>
    </xf>
    <xf numFmtId="0" fontId="29" fillId="4" borderId="0" xfId="0" applyFont="1" applyFill="1" applyAlignment="1" applyProtection="1">
      <alignment horizontal="left" vertical="center" wrapText="1"/>
      <protection hidden="1"/>
    </xf>
    <xf numFmtId="6" fontId="29" fillId="3" borderId="1" xfId="2" applyFont="1" applyFill="1" applyBorder="1" applyAlignment="1" applyProtection="1">
      <alignment horizontal="right" vertical="center"/>
    </xf>
    <xf numFmtId="0" fontId="29" fillId="0" borderId="0" xfId="0" applyFont="1" applyAlignment="1" applyProtection="1">
      <alignment horizontal="left" vertical="center"/>
    </xf>
    <xf numFmtId="0" fontId="32" fillId="0" borderId="0" xfId="0" applyFont="1" applyFill="1" applyAlignment="1" applyProtection="1">
      <alignment vertical="center"/>
    </xf>
    <xf numFmtId="0" fontId="32" fillId="12" borderId="0" xfId="0" applyFont="1" applyFill="1" applyAlignment="1" applyProtection="1">
      <alignment vertical="center"/>
    </xf>
    <xf numFmtId="0" fontId="29" fillId="4" borderId="0" xfId="0" applyFont="1" applyFill="1" applyAlignment="1" applyProtection="1">
      <alignment horizontal="centerContinuous" vertical="center"/>
    </xf>
    <xf numFmtId="0" fontId="29" fillId="0" borderId="0" xfId="0" applyFont="1" applyProtection="1">
      <alignment vertical="center"/>
    </xf>
    <xf numFmtId="0" fontId="29" fillId="0" borderId="0" xfId="0" applyFont="1" applyAlignment="1" applyProtection="1">
      <alignment vertical="center" shrinkToFit="1"/>
    </xf>
    <xf numFmtId="0" fontId="29" fillId="0" borderId="0" xfId="0" applyFont="1" applyAlignment="1" applyProtection="1">
      <alignment horizontal="right" vertical="center"/>
    </xf>
    <xf numFmtId="0" fontId="29" fillId="4" borderId="0" xfId="0" applyFont="1" applyFill="1" applyProtection="1">
      <alignment vertical="center"/>
    </xf>
    <xf numFmtId="0" fontId="39" fillId="0" borderId="0" xfId="0" applyFont="1" applyAlignment="1" applyProtection="1">
      <alignment horizontal="left" vertical="center"/>
    </xf>
    <xf numFmtId="0" fontId="29" fillId="0" borderId="0" xfId="0" applyFont="1" applyAlignment="1" applyProtection="1">
      <alignment horizontal="left" vertical="center" wrapText="1"/>
    </xf>
    <xf numFmtId="0" fontId="29" fillId="10" borderId="0" xfId="0" applyFont="1" applyFill="1" applyAlignment="1" applyProtection="1">
      <alignment horizontal="left" vertical="center" wrapText="1"/>
    </xf>
    <xf numFmtId="0" fontId="38" fillId="10" borderId="0" xfId="0" applyFont="1" applyFill="1" applyProtection="1">
      <alignment vertical="center"/>
    </xf>
    <xf numFmtId="0" fontId="29" fillId="10" borderId="0" xfId="0" applyFont="1" applyFill="1" applyAlignment="1" applyProtection="1">
      <alignment horizontal="left" vertical="center" shrinkToFit="1"/>
    </xf>
    <xf numFmtId="0" fontId="38" fillId="10" borderId="0" xfId="0" applyFont="1" applyFill="1" applyAlignment="1" applyProtection="1">
      <alignment vertical="center" shrinkToFit="1"/>
    </xf>
    <xf numFmtId="0" fontId="29" fillId="10" borderId="0" xfId="0" applyFont="1" applyFill="1" applyAlignment="1" applyProtection="1">
      <alignment horizontal="center" vertical="center"/>
    </xf>
    <xf numFmtId="0" fontId="29" fillId="10" borderId="0" xfId="0" applyFont="1" applyFill="1" applyAlignment="1" applyProtection="1">
      <alignment vertical="center" shrinkToFit="1"/>
    </xf>
    <xf numFmtId="56" fontId="29" fillId="10" borderId="0" xfId="0" applyNumberFormat="1" applyFont="1" applyFill="1" applyProtection="1">
      <alignment vertical="center"/>
    </xf>
    <xf numFmtId="0" fontId="29" fillId="10" borderId="0" xfId="0" applyFont="1" applyFill="1" applyProtection="1">
      <alignment vertical="center"/>
    </xf>
    <xf numFmtId="0" fontId="39" fillId="10" borderId="0" xfId="0" applyFont="1" applyFill="1" applyProtection="1">
      <alignment vertical="center"/>
    </xf>
    <xf numFmtId="49" fontId="29" fillId="10" borderId="0" xfId="0" applyNumberFormat="1" applyFont="1" applyFill="1" applyAlignment="1" applyProtection="1">
      <alignment horizontal="left" vertical="center" wrapText="1"/>
    </xf>
    <xf numFmtId="49" fontId="29" fillId="10" borderId="0" xfId="0" applyNumberFormat="1" applyFont="1" applyFill="1" applyAlignment="1" applyProtection="1">
      <alignment horizontal="center" vertical="center"/>
    </xf>
    <xf numFmtId="49" fontId="29" fillId="10" borderId="0" xfId="0" applyNumberFormat="1" applyFont="1" applyFill="1" applyAlignment="1" applyProtection="1">
      <alignment vertical="center" shrinkToFit="1"/>
    </xf>
    <xf numFmtId="49" fontId="38" fillId="10" borderId="0" xfId="0" applyNumberFormat="1" applyFont="1" applyFill="1" applyAlignment="1" applyProtection="1">
      <alignment vertical="center" shrinkToFit="1"/>
    </xf>
    <xf numFmtId="49" fontId="38" fillId="10" borderId="0" xfId="0" applyNumberFormat="1" applyFont="1" applyFill="1" applyAlignment="1" applyProtection="1">
      <alignment horizontal="left" vertical="center" shrinkToFit="1"/>
    </xf>
    <xf numFmtId="0" fontId="29" fillId="0" borderId="0" xfId="1" applyFont="1" applyProtection="1">
      <alignment vertical="center"/>
    </xf>
    <xf numFmtId="0" fontId="38" fillId="0" borderId="0" xfId="1" applyFont="1" applyProtection="1">
      <alignment vertical="center"/>
    </xf>
    <xf numFmtId="0" fontId="38" fillId="10" borderId="0" xfId="1" applyFont="1" applyFill="1" applyAlignment="1" applyProtection="1">
      <alignment vertical="center" shrinkToFit="1"/>
    </xf>
    <xf numFmtId="0" fontId="38" fillId="10" borderId="0" xfId="1" applyFont="1" applyFill="1" applyProtection="1">
      <alignment vertical="center"/>
    </xf>
    <xf numFmtId="0" fontId="29" fillId="10" borderId="0" xfId="0" applyFont="1" applyFill="1" applyAlignment="1" applyProtection="1">
      <alignment horizontal="center" vertical="center" wrapText="1"/>
    </xf>
    <xf numFmtId="0" fontId="29" fillId="9" borderId="0" xfId="0" applyFont="1" applyFill="1" applyProtection="1">
      <alignment vertical="center"/>
    </xf>
    <xf numFmtId="0" fontId="38" fillId="9" borderId="0" xfId="0" applyFont="1" applyFill="1" applyProtection="1">
      <alignment vertical="center"/>
    </xf>
    <xf numFmtId="0" fontId="38" fillId="9" borderId="0" xfId="0" applyFont="1" applyFill="1" applyAlignment="1" applyProtection="1">
      <alignment vertical="center" shrinkToFit="1"/>
    </xf>
    <xf numFmtId="0" fontId="29" fillId="9" borderId="0" xfId="0" applyFont="1" applyFill="1" applyAlignment="1" applyProtection="1">
      <alignment horizontal="right" vertical="center"/>
    </xf>
    <xf numFmtId="0" fontId="29" fillId="9" borderId="0" xfId="0" applyFont="1" applyFill="1" applyAlignment="1" applyProtection="1">
      <alignment vertical="center" shrinkToFit="1"/>
    </xf>
    <xf numFmtId="0" fontId="29" fillId="9" borderId="0" xfId="0" applyFont="1" applyFill="1" applyAlignment="1" applyProtection="1">
      <alignment horizontal="left" vertical="center"/>
    </xf>
    <xf numFmtId="0" fontId="29" fillId="5" borderId="6" xfId="0" applyFont="1" applyFill="1" applyBorder="1" applyAlignment="1" applyProtection="1">
      <alignment horizontal="left" vertical="center" shrinkToFit="1"/>
    </xf>
    <xf numFmtId="0" fontId="29" fillId="4" borderId="0" xfId="0" applyFont="1" applyFill="1" applyAlignment="1" applyProtection="1">
      <alignment horizontal="left" vertical="center"/>
    </xf>
    <xf numFmtId="0" fontId="35" fillId="0" borderId="0" xfId="0" applyFont="1" applyAlignment="1" applyProtection="1">
      <alignment vertical="center" wrapText="1"/>
    </xf>
    <xf numFmtId="0" fontId="29" fillId="9" borderId="0" xfId="0" applyFont="1" applyFill="1" applyAlignment="1" applyProtection="1">
      <alignment horizontal="left" vertical="center" shrinkToFit="1"/>
    </xf>
    <xf numFmtId="0" fontId="29" fillId="9" borderId="0" xfId="0" applyFont="1" applyFill="1" applyAlignment="1" applyProtection="1">
      <alignment horizontal="right" vertical="center" shrinkToFit="1"/>
    </xf>
    <xf numFmtId="0" fontId="29" fillId="4" borderId="0" xfId="0" applyFont="1" applyFill="1" applyAlignment="1" applyProtection="1">
      <alignment vertical="center" shrinkToFit="1"/>
    </xf>
    <xf numFmtId="0" fontId="29" fillId="4" borderId="0" xfId="0" applyFont="1" applyFill="1" applyAlignment="1" applyProtection="1">
      <alignment horizontal="left" vertical="center" shrinkToFit="1"/>
    </xf>
    <xf numFmtId="0" fontId="29" fillId="4" borderId="0" xfId="0" applyFont="1" applyFill="1" applyAlignment="1" applyProtection="1">
      <alignment horizontal="right" vertical="center" shrinkToFit="1"/>
    </xf>
    <xf numFmtId="0" fontId="38" fillId="4" borderId="0" xfId="0" applyFont="1" applyFill="1" applyProtection="1">
      <alignment vertical="center"/>
    </xf>
    <xf numFmtId="0" fontId="38" fillId="4" borderId="0" xfId="0" applyFont="1" applyFill="1" applyAlignment="1" applyProtection="1">
      <alignment vertical="center" shrinkToFit="1"/>
    </xf>
    <xf numFmtId="0" fontId="29" fillId="4" borderId="0" xfId="0" applyFont="1" applyFill="1" applyAlignment="1" applyProtection="1">
      <alignment horizontal="right" vertical="center"/>
    </xf>
    <xf numFmtId="0" fontId="35" fillId="0" borderId="0" xfId="0" applyFont="1" applyProtection="1">
      <alignment vertical="center"/>
    </xf>
    <xf numFmtId="0" fontId="49" fillId="4" borderId="0" xfId="3" applyFont="1" applyFill="1" applyAlignment="1" applyProtection="1">
      <alignment horizontal="right" vertical="center" shrinkToFit="1"/>
    </xf>
    <xf numFmtId="0" fontId="42" fillId="0" borderId="0" xfId="0" applyFont="1" applyProtection="1">
      <alignment vertical="center"/>
    </xf>
    <xf numFmtId="0" fontId="38" fillId="10" borderId="0" xfId="0" applyFont="1" applyFill="1" applyAlignment="1" applyProtection="1">
      <alignment horizontal="left" vertical="center"/>
    </xf>
    <xf numFmtId="0" fontId="29" fillId="10" borderId="0" xfId="0" applyFont="1" applyFill="1" applyAlignment="1" applyProtection="1">
      <alignment horizontal="left" vertical="center"/>
    </xf>
    <xf numFmtId="0" fontId="29" fillId="10" borderId="0" xfId="0" applyFont="1" applyFill="1" applyAlignment="1" applyProtection="1">
      <alignment horizontal="right" vertical="center"/>
    </xf>
    <xf numFmtId="0" fontId="29" fillId="10" borderId="0" xfId="0" applyFont="1" applyFill="1" applyAlignment="1" applyProtection="1">
      <alignment horizontal="right" vertical="center" wrapText="1"/>
    </xf>
    <xf numFmtId="0" fontId="42" fillId="10" borderId="0" xfId="0" applyFont="1" applyFill="1" applyAlignment="1" applyProtection="1">
      <alignment horizontal="center" vertical="center" wrapText="1"/>
    </xf>
    <xf numFmtId="0" fontId="44" fillId="10" borderId="0" xfId="0" applyFont="1" applyFill="1" applyAlignment="1" applyProtection="1">
      <alignment horizontal="center" vertical="center" wrapText="1"/>
    </xf>
    <xf numFmtId="0" fontId="38" fillId="10" borderId="0" xfId="0" applyFont="1" applyFill="1" applyAlignment="1" applyProtection="1">
      <alignment horizontal="center" vertical="center"/>
    </xf>
    <xf numFmtId="0" fontId="38" fillId="10" borderId="0" xfId="0" applyFont="1" applyFill="1" applyAlignment="1" applyProtection="1">
      <alignment horizontal="left" vertical="center" shrinkToFit="1"/>
    </xf>
    <xf numFmtId="6" fontId="38" fillId="5" borderId="6" xfId="2" applyFont="1" applyFill="1" applyBorder="1" applyAlignment="1" applyProtection="1">
      <alignment horizontal="right" vertical="center"/>
    </xf>
    <xf numFmtId="0" fontId="38" fillId="10" borderId="0" xfId="0" quotePrefix="1" applyFont="1" applyFill="1" applyAlignment="1" applyProtection="1">
      <alignment horizontal="center" vertical="center"/>
    </xf>
    <xf numFmtId="0" fontId="29" fillId="7" borderId="0" xfId="0" applyFont="1" applyFill="1" applyProtection="1">
      <alignment vertical="center"/>
    </xf>
    <xf numFmtId="0" fontId="38" fillId="7" borderId="0" xfId="0" applyFont="1" applyFill="1" applyAlignment="1" applyProtection="1">
      <alignment horizontal="left" vertical="center" shrinkToFit="1"/>
    </xf>
    <xf numFmtId="0" fontId="29" fillId="7" borderId="0" xfId="0" applyFont="1" applyFill="1" applyAlignment="1" applyProtection="1">
      <alignment horizontal="right" vertical="center"/>
    </xf>
    <xf numFmtId="0" fontId="29" fillId="7" borderId="0" xfId="0" applyFont="1" applyFill="1" applyAlignment="1" applyProtection="1">
      <alignment horizontal="left" vertical="center"/>
    </xf>
    <xf numFmtId="0" fontId="38" fillId="7" borderId="0" xfId="0" applyFont="1" applyFill="1" applyProtection="1">
      <alignment vertical="center"/>
    </xf>
    <xf numFmtId="6" fontId="29" fillId="7" borderId="0" xfId="2" applyFont="1" applyFill="1" applyAlignment="1" applyProtection="1">
      <alignment horizontal="right" vertical="center"/>
    </xf>
    <xf numFmtId="0" fontId="38" fillId="7" borderId="0" xfId="0" quotePrefix="1" applyFont="1" applyFill="1" applyAlignment="1" applyProtection="1">
      <alignment horizontal="center" vertical="center"/>
    </xf>
    <xf numFmtId="0" fontId="37" fillId="7" borderId="0" xfId="0" applyFont="1" applyFill="1" applyAlignment="1" applyProtection="1">
      <alignment horizontal="left" vertical="center"/>
    </xf>
    <xf numFmtId="0" fontId="38" fillId="7" borderId="0" xfId="0" applyFont="1" applyFill="1" applyAlignment="1" applyProtection="1">
      <alignment vertical="center" shrinkToFit="1"/>
    </xf>
    <xf numFmtId="0" fontId="29" fillId="7" borderId="0" xfId="0" applyFont="1" applyFill="1" applyAlignment="1" applyProtection="1">
      <alignment vertical="center" shrinkToFit="1"/>
    </xf>
    <xf numFmtId="0" fontId="49" fillId="7" borderId="0" xfId="3" applyFont="1" applyFill="1" applyAlignment="1" applyProtection="1">
      <alignment horizontal="right" vertical="center" shrinkToFit="1"/>
    </xf>
    <xf numFmtId="49" fontId="38" fillId="10" borderId="0" xfId="0" applyNumberFormat="1" applyFont="1" applyFill="1" applyAlignment="1" applyProtection="1">
      <alignment vertical="center" shrinkToFit="1"/>
      <protection locked="0"/>
    </xf>
    <xf numFmtId="0" fontId="29" fillId="6" borderId="2" xfId="0" applyFont="1" applyFill="1" applyBorder="1" applyAlignment="1" applyProtection="1">
      <alignment horizontal="left" vertical="center"/>
      <protection hidden="1"/>
    </xf>
    <xf numFmtId="0" fontId="29" fillId="6" borderId="4" xfId="0" applyFont="1" applyFill="1" applyBorder="1" applyAlignment="1" applyProtection="1">
      <alignment horizontal="left" vertical="center"/>
      <protection hidden="1"/>
    </xf>
    <xf numFmtId="0" fontId="29" fillId="5" borderId="13" xfId="0" applyFont="1" applyFill="1" applyBorder="1" applyAlignment="1" applyProtection="1">
      <alignment horizontal="left" vertical="center"/>
      <protection hidden="1"/>
    </xf>
    <xf numFmtId="0" fontId="29" fillId="5" borderId="14" xfId="0" applyFont="1" applyFill="1" applyBorder="1" applyAlignment="1" applyProtection="1">
      <alignment horizontal="left" vertical="center"/>
      <protection hidden="1"/>
    </xf>
    <xf numFmtId="0" fontId="29" fillId="9" borderId="0" xfId="0" applyFont="1" applyFill="1" applyAlignment="1" applyProtection="1">
      <alignment horizontal="left" vertical="center" wrapText="1"/>
      <protection hidden="1"/>
    </xf>
    <xf numFmtId="0" fontId="29" fillId="9" borderId="0" xfId="0" applyFont="1" applyFill="1" applyAlignment="1" applyProtection="1">
      <alignment horizontal="left" vertical="center"/>
      <protection hidden="1"/>
    </xf>
    <xf numFmtId="0" fontId="29" fillId="5" borderId="20" xfId="0" applyFont="1" applyFill="1" applyBorder="1" applyAlignment="1" applyProtection="1">
      <alignment horizontal="center" vertical="center" shrinkToFit="1"/>
      <protection hidden="1"/>
    </xf>
    <xf numFmtId="0" fontId="29" fillId="5" borderId="21" xfId="0" applyFont="1" applyFill="1" applyBorder="1" applyAlignment="1" applyProtection="1">
      <alignment horizontal="center" vertical="center" shrinkToFit="1"/>
      <protection hidden="1"/>
    </xf>
    <xf numFmtId="0" fontId="29" fillId="5" borderId="22" xfId="0" applyFont="1" applyFill="1" applyBorder="1" applyAlignment="1" applyProtection="1">
      <alignment horizontal="center" vertical="center" shrinkToFit="1"/>
      <protection hidden="1"/>
    </xf>
    <xf numFmtId="0" fontId="43" fillId="0" borderId="0" xfId="0" applyFont="1" applyAlignment="1" applyProtection="1">
      <alignment horizontal="left" vertical="center" wrapText="1"/>
      <protection hidden="1"/>
    </xf>
    <xf numFmtId="0" fontId="29" fillId="3" borderId="2" xfId="0" applyFont="1" applyFill="1" applyBorder="1" applyAlignment="1" applyProtection="1">
      <alignment horizontal="left" vertical="center"/>
      <protection locked="0"/>
    </xf>
    <xf numFmtId="0" fontId="29" fillId="3" borderId="3" xfId="0" applyFont="1" applyFill="1" applyBorder="1" applyAlignment="1" applyProtection="1">
      <alignment horizontal="left" vertical="center"/>
      <protection locked="0"/>
    </xf>
    <xf numFmtId="0" fontId="29" fillId="3" borderId="4" xfId="0" applyFont="1" applyFill="1" applyBorder="1" applyAlignment="1" applyProtection="1">
      <alignment horizontal="left" vertical="center"/>
      <protection locked="0"/>
    </xf>
    <xf numFmtId="49" fontId="29" fillId="3" borderId="2" xfId="0" applyNumberFormat="1" applyFont="1" applyFill="1" applyBorder="1" applyAlignment="1" applyProtection="1">
      <alignment horizontal="left" vertical="center"/>
      <protection locked="0"/>
    </xf>
    <xf numFmtId="49" fontId="29" fillId="3" borderId="3" xfId="0" applyNumberFormat="1" applyFont="1" applyFill="1" applyBorder="1" applyAlignment="1" applyProtection="1">
      <alignment horizontal="left" vertical="center"/>
      <protection locked="0"/>
    </xf>
    <xf numFmtId="49" fontId="29" fillId="3" borderId="4" xfId="0" applyNumberFormat="1" applyFont="1" applyFill="1" applyBorder="1" applyAlignment="1" applyProtection="1">
      <alignment horizontal="left" vertical="center"/>
      <protection locked="0"/>
    </xf>
    <xf numFmtId="0" fontId="47" fillId="14" borderId="0" xfId="0" applyFont="1" applyFill="1" applyAlignment="1" applyProtection="1">
      <alignment horizontal="center" vertical="center" wrapText="1"/>
      <protection hidden="1"/>
    </xf>
    <xf numFmtId="0" fontId="47" fillId="14" borderId="0" xfId="0" applyFont="1" applyFill="1" applyAlignment="1" applyProtection="1">
      <alignment horizontal="center" vertical="center"/>
      <protection hidden="1"/>
    </xf>
    <xf numFmtId="0" fontId="45" fillId="0" borderId="2" xfId="0" applyFont="1" applyBorder="1" applyProtection="1">
      <alignment vertical="center"/>
      <protection locked="0"/>
    </xf>
    <xf numFmtId="0" fontId="45" fillId="0" borderId="3" xfId="0" applyFont="1" applyBorder="1" applyProtection="1">
      <alignment vertical="center"/>
      <protection locked="0"/>
    </xf>
    <xf numFmtId="0" fontId="45" fillId="0" borderId="4" xfId="0" applyFont="1" applyBorder="1" applyProtection="1">
      <alignment vertical="center"/>
      <protection locked="0"/>
    </xf>
    <xf numFmtId="0" fontId="29" fillId="9" borderId="0" xfId="0" applyFont="1" applyFill="1" applyAlignment="1" applyProtection="1">
      <alignment horizontal="center" vertical="center" wrapText="1"/>
      <protection hidden="1"/>
    </xf>
    <xf numFmtId="0" fontId="29" fillId="10" borderId="0" xfId="0" applyFont="1" applyFill="1" applyAlignment="1" applyProtection="1">
      <alignment horizontal="center" vertical="center" wrapText="1" shrinkToFit="1"/>
      <protection hidden="1"/>
    </xf>
    <xf numFmtId="0" fontId="29" fillId="10" borderId="0" xfId="0" applyFont="1" applyFill="1" applyAlignment="1" applyProtection="1">
      <alignment horizontal="center" vertical="center" shrinkToFit="1"/>
      <protection hidden="1"/>
    </xf>
    <xf numFmtId="49" fontId="29" fillId="0" borderId="1" xfId="0" applyNumberFormat="1" applyFont="1" applyBorder="1" applyAlignment="1" applyProtection="1">
      <alignment vertical="center" shrinkToFit="1"/>
      <protection locked="0"/>
    </xf>
    <xf numFmtId="49" fontId="29" fillId="5" borderId="6" xfId="0" applyNumberFormat="1" applyFont="1" applyFill="1" applyBorder="1" applyAlignment="1" applyProtection="1">
      <alignment vertical="center" shrinkToFit="1"/>
      <protection hidden="1"/>
    </xf>
    <xf numFmtId="0" fontId="29" fillId="10" borderId="0" xfId="0" applyFont="1" applyFill="1" applyAlignment="1" applyProtection="1">
      <alignment horizontal="left" vertical="center" wrapText="1"/>
    </xf>
    <xf numFmtId="0" fontId="29" fillId="10" borderId="0" xfId="0" applyFont="1" applyFill="1" applyAlignment="1" applyProtection="1">
      <alignment horizontal="left" vertical="top" wrapText="1"/>
    </xf>
    <xf numFmtId="0" fontId="45" fillId="3" borderId="2" xfId="0" applyFont="1" applyFill="1" applyBorder="1" applyProtection="1">
      <alignment vertical="center"/>
    </xf>
    <xf numFmtId="0" fontId="45" fillId="3" borderId="3" xfId="0" applyFont="1" applyFill="1" applyBorder="1" applyProtection="1">
      <alignment vertical="center"/>
    </xf>
    <xf numFmtId="0" fontId="45" fillId="3" borderId="4" xfId="0" applyFont="1" applyFill="1" applyBorder="1" applyProtection="1">
      <alignment vertical="center"/>
    </xf>
    <xf numFmtId="0" fontId="29" fillId="10" borderId="0" xfId="0" applyFont="1" applyFill="1" applyAlignment="1" applyProtection="1">
      <alignment horizontal="center" vertical="center" wrapText="1"/>
    </xf>
    <xf numFmtId="0" fontId="45" fillId="5" borderId="13" xfId="0" applyFont="1" applyFill="1" applyBorder="1" applyProtection="1">
      <alignment vertical="center"/>
    </xf>
    <xf numFmtId="0" fontId="45" fillId="5" borderId="15" xfId="0" applyFont="1" applyFill="1" applyBorder="1" applyProtection="1">
      <alignment vertical="center"/>
    </xf>
    <xf numFmtId="0" fontId="45" fillId="5" borderId="14" xfId="0" applyFont="1" applyFill="1" applyBorder="1" applyProtection="1">
      <alignment vertical="center"/>
    </xf>
    <xf numFmtId="0" fontId="35" fillId="0" borderId="0" xfId="0" applyFont="1" applyAlignment="1" applyProtection="1">
      <alignment vertical="center" wrapText="1"/>
    </xf>
    <xf numFmtId="0" fontId="15" fillId="0" borderId="5" xfId="0" applyFont="1" applyBorder="1" applyAlignment="1" applyProtection="1">
      <alignment horizontal="center" vertical="center"/>
      <protection hidden="1"/>
    </xf>
    <xf numFmtId="0" fontId="17" fillId="0" borderId="5" xfId="0" applyFont="1" applyBorder="1" applyAlignment="1" applyProtection="1">
      <alignment horizontal="center" vertical="center" shrinkToFit="1"/>
      <protection hidden="1"/>
    </xf>
    <xf numFmtId="0" fontId="18" fillId="0" borderId="10" xfId="0" applyFont="1" applyBorder="1" applyAlignment="1" applyProtection="1">
      <alignment horizontal="left" vertical="center" shrinkToFit="1"/>
      <protection hidden="1"/>
    </xf>
    <xf numFmtId="0" fontId="17" fillId="0" borderId="10" xfId="0" applyFont="1" applyBorder="1" applyAlignment="1" applyProtection="1">
      <alignment vertical="center" shrinkToFit="1"/>
      <protection hidden="1"/>
    </xf>
    <xf numFmtId="0" fontId="17" fillId="0" borderId="11" xfId="0" applyFont="1" applyBorder="1" applyAlignment="1" applyProtection="1">
      <alignment vertical="center" shrinkToFit="1"/>
      <protection hidden="1"/>
    </xf>
    <xf numFmtId="38" fontId="17" fillId="0" borderId="0" xfId="4" applyFont="1" applyAlignment="1" applyProtection="1">
      <alignment vertical="center"/>
      <protection hidden="1"/>
    </xf>
    <xf numFmtId="0" fontId="15" fillId="0" borderId="5" xfId="0" applyFont="1" applyBorder="1" applyAlignment="1" applyProtection="1">
      <alignment horizontal="center" vertical="center" shrinkToFit="1"/>
      <protection hidden="1"/>
    </xf>
    <xf numFmtId="38" fontId="15" fillId="0" borderId="9" xfId="4" applyFont="1" applyBorder="1" applyAlignment="1" applyProtection="1">
      <alignment horizontal="center" vertical="center"/>
      <protection hidden="1"/>
    </xf>
    <xf numFmtId="38" fontId="15" fillId="0" borderId="10" xfId="4" applyFont="1" applyBorder="1" applyAlignment="1" applyProtection="1">
      <alignment horizontal="center" vertical="center"/>
      <protection hidden="1"/>
    </xf>
    <xf numFmtId="38" fontId="15" fillId="0" borderId="11" xfId="4" applyFont="1" applyBorder="1" applyAlignment="1" applyProtection="1">
      <alignment horizontal="center" vertical="center"/>
      <protection hidden="1"/>
    </xf>
    <xf numFmtId="0" fontId="28" fillId="0" borderId="9" xfId="0" applyFont="1" applyBorder="1" applyAlignment="1" applyProtection="1">
      <alignment horizontal="center" vertical="center" shrinkToFit="1"/>
      <protection hidden="1"/>
    </xf>
    <xf numFmtId="0" fontId="28" fillId="0" borderId="11" xfId="0" applyFont="1" applyBorder="1" applyAlignment="1" applyProtection="1">
      <alignment horizontal="center" vertical="center" shrinkToFit="1"/>
      <protection hidden="1"/>
    </xf>
    <xf numFmtId="0" fontId="17" fillId="0" borderId="9" xfId="0" applyFont="1" applyBorder="1" applyAlignment="1" applyProtection="1">
      <alignment horizontal="center" vertical="center" shrinkToFit="1"/>
      <protection hidden="1"/>
    </xf>
    <xf numFmtId="0" fontId="17" fillId="0" borderId="10" xfId="0" applyFont="1" applyBorder="1" applyAlignment="1" applyProtection="1">
      <alignment horizontal="center" vertical="center" shrinkToFit="1"/>
      <protection hidden="1"/>
    </xf>
    <xf numFmtId="0" fontId="17" fillId="0" borderId="11" xfId="0" applyFont="1" applyBorder="1" applyAlignment="1" applyProtection="1">
      <alignment horizontal="center" vertical="center" shrinkToFit="1"/>
      <protection hidden="1"/>
    </xf>
    <xf numFmtId="38" fontId="17" fillId="0" borderId="9" xfId="4" applyFont="1" applyBorder="1" applyAlignment="1" applyProtection="1">
      <alignment horizontal="center" vertical="center"/>
      <protection hidden="1"/>
    </xf>
    <xf numFmtId="38" fontId="17" fillId="0" borderId="10" xfId="4" applyFont="1" applyBorder="1" applyAlignment="1" applyProtection="1">
      <alignment horizontal="center" vertical="center"/>
      <protection hidden="1"/>
    </xf>
    <xf numFmtId="38" fontId="17" fillId="0" borderId="11" xfId="4" applyFont="1" applyBorder="1" applyAlignment="1" applyProtection="1">
      <alignment horizontal="center" vertical="center"/>
      <protection hidden="1"/>
    </xf>
    <xf numFmtId="38" fontId="17" fillId="0" borderId="5" xfId="4" applyFont="1" applyBorder="1" applyAlignment="1" applyProtection="1">
      <alignment horizontal="center" vertical="center"/>
      <protection hidden="1"/>
    </xf>
    <xf numFmtId="0" fontId="15" fillId="0" borderId="9" xfId="0" applyFont="1" applyBorder="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15" fillId="0" borderId="11" xfId="0" applyFont="1" applyBorder="1" applyAlignment="1" applyProtection="1">
      <alignment horizontal="center" vertical="center"/>
      <protection hidden="1"/>
    </xf>
    <xf numFmtId="0" fontId="15" fillId="0" borderId="5" xfId="0" applyFont="1" applyBorder="1" applyAlignment="1" applyProtection="1">
      <alignment horizontal="center" vertical="center" wrapText="1"/>
      <protection hidden="1"/>
    </xf>
    <xf numFmtId="0" fontId="16" fillId="0" borderId="0" xfId="0" applyFont="1" applyAlignment="1" applyProtection="1">
      <alignment vertical="center" wrapText="1"/>
      <protection hidden="1"/>
    </xf>
    <xf numFmtId="0" fontId="15" fillId="0" borderId="9" xfId="0" applyFont="1" applyBorder="1" applyAlignment="1" applyProtection="1">
      <alignment horizontal="center" vertical="center" wrapText="1"/>
      <protection hidden="1"/>
    </xf>
    <xf numFmtId="0" fontId="15" fillId="0" borderId="10" xfId="0" applyFont="1" applyBorder="1" applyAlignment="1" applyProtection="1">
      <alignment horizontal="center" vertical="center" wrapText="1"/>
      <protection hidden="1"/>
    </xf>
    <xf numFmtId="0" fontId="15" fillId="0" borderId="11" xfId="0" applyFont="1" applyBorder="1" applyAlignment="1" applyProtection="1">
      <alignment horizontal="center" vertical="center" wrapText="1"/>
      <protection hidden="1"/>
    </xf>
    <xf numFmtId="0" fontId="45" fillId="3" borderId="2" xfId="0" applyFont="1" applyFill="1" applyBorder="1" applyProtection="1">
      <alignment vertical="center"/>
      <protection locked="0"/>
    </xf>
    <xf numFmtId="0" fontId="45" fillId="3" borderId="3" xfId="0" applyFont="1" applyFill="1" applyBorder="1" applyProtection="1">
      <alignment vertical="center"/>
      <protection locked="0"/>
    </xf>
    <xf numFmtId="0" fontId="45" fillId="3" borderId="4" xfId="0" applyFont="1" applyFill="1" applyBorder="1" applyProtection="1">
      <alignment vertical="center"/>
      <protection locked="0"/>
    </xf>
    <xf numFmtId="6" fontId="29" fillId="7" borderId="0" xfId="2" applyFont="1" applyFill="1" applyAlignment="1" applyProtection="1">
      <alignment horizontal="right" vertical="center"/>
      <protection locked="0"/>
    </xf>
    <xf numFmtId="6" fontId="29" fillId="10" borderId="0" xfId="2" applyFont="1" applyFill="1" applyAlignment="1" applyProtection="1">
      <alignment horizontal="right" vertical="center"/>
      <protection locked="0"/>
    </xf>
    <xf numFmtId="0" fontId="34" fillId="11" borderId="0" xfId="3" applyFont="1" applyFill="1" applyAlignment="1" applyProtection="1">
      <alignment horizontal="center" vertical="center"/>
      <protection locked="0" hidden="1"/>
    </xf>
    <xf numFmtId="0" fontId="49" fillId="0" borderId="0" xfId="3" applyFont="1" applyAlignment="1" applyProtection="1">
      <alignment vertical="center"/>
      <protection locked="0"/>
    </xf>
    <xf numFmtId="0" fontId="49" fillId="10" borderId="0" xfId="3" applyFont="1" applyFill="1" applyAlignment="1" applyProtection="1">
      <alignment horizontal="right" vertical="center" shrinkToFit="1"/>
      <protection locked="0"/>
    </xf>
    <xf numFmtId="0" fontId="49" fillId="4" borderId="0" xfId="3" applyFont="1" applyFill="1" applyAlignment="1" applyProtection="1">
      <alignment horizontal="right" vertical="center" shrinkToFit="1"/>
      <protection locked="0"/>
    </xf>
    <xf numFmtId="0" fontId="49" fillId="7" borderId="0" xfId="3" applyFont="1" applyFill="1" applyAlignment="1" applyProtection="1">
      <alignment horizontal="right" vertical="center" shrinkToFit="1"/>
      <protection locked="0"/>
    </xf>
    <xf numFmtId="0" fontId="41" fillId="0" borderId="0" xfId="0" applyFont="1" applyAlignment="1" applyProtection="1">
      <alignment horizontal="left" vertical="center"/>
      <protection hidden="1"/>
    </xf>
  </cellXfs>
  <cellStyles count="8">
    <cellStyle name="ハイパーリンク" xfId="3" builtinId="8"/>
    <cellStyle name="桁区切り" xfId="4" builtinId="6"/>
    <cellStyle name="行レベル_1" xfId="1" builtinId="1" iLevel="0"/>
    <cellStyle name="通貨" xfId="2" builtinId="7"/>
    <cellStyle name="通貨 2" xfId="6" xr:uid="{00000000-0005-0000-0000-000004000000}"/>
    <cellStyle name="標準" xfId="0" builtinId="0"/>
    <cellStyle name="標準 2" xfId="5" xr:uid="{00000000-0005-0000-0000-000006000000}"/>
    <cellStyle name="標準 4" xfId="7" xr:uid="{00000000-0005-0000-0000-000007000000}"/>
  </cellStyles>
  <dxfs count="339">
    <dxf>
      <font>
        <b/>
        <i val="0"/>
      </font>
    </dxf>
    <dxf>
      <font>
        <b/>
        <i val="0"/>
      </font>
    </dxf>
    <dxf>
      <font>
        <b/>
        <i val="0"/>
      </font>
    </dxf>
    <dxf>
      <font>
        <b/>
        <i val="0"/>
        <color rgb="FF00B050"/>
      </font>
    </dxf>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FF0000"/>
      </font>
    </dxf>
    <dxf>
      <font>
        <b/>
        <i val="0"/>
        <color rgb="FF00B050"/>
      </font>
    </dxf>
    <dxf>
      <font>
        <b/>
        <i val="0"/>
        <color rgb="FF00B05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66"/>
      <color rgb="FFFFFF99"/>
      <color rgb="FFF00000"/>
      <color rgb="FF584300"/>
      <color rgb="FFF7FAFD"/>
      <color rgb="FF632D09"/>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A101"/>
  <sheetViews>
    <sheetView showGridLines="0" tabSelected="1" zoomScale="85" zoomScaleNormal="85" workbookViewId="0">
      <selection activeCell="F22" sqref="F22"/>
    </sheetView>
  </sheetViews>
  <sheetFormatPr defaultColWidth="9" defaultRowHeight="15" x14ac:dyDescent="0.2"/>
  <cols>
    <col min="1" max="2" width="0.88671875" style="78" customWidth="1"/>
    <col min="3" max="3" width="3.6640625" style="78" customWidth="1"/>
    <col min="4" max="4" width="12.6640625" style="78" customWidth="1"/>
    <col min="5" max="5" width="2.6640625" style="78" customWidth="1"/>
    <col min="6" max="6" width="12.6640625" style="78" customWidth="1"/>
    <col min="7" max="7" width="2.6640625" style="78" customWidth="1"/>
    <col min="8" max="8" width="12.6640625" style="78" customWidth="1"/>
    <col min="9" max="9" width="2.6640625" style="78" customWidth="1"/>
    <col min="10" max="10" width="13.6640625" style="78" customWidth="1"/>
    <col min="11" max="11" width="2.6640625" style="78" customWidth="1"/>
    <col min="12" max="12" width="12.6640625" style="78" customWidth="1"/>
    <col min="13" max="13" width="2.6640625" style="78" customWidth="1"/>
    <col min="14" max="14" width="12.6640625" style="78" customWidth="1"/>
    <col min="15" max="15" width="2.6640625" style="78" customWidth="1"/>
    <col min="16" max="16" width="13.5546875" style="78" customWidth="1"/>
    <col min="17" max="17" width="2.6640625" style="78" customWidth="1"/>
    <col min="18" max="18" width="12.6640625" style="78" customWidth="1"/>
    <col min="19" max="19" width="2.6640625" style="78" customWidth="1"/>
    <col min="20" max="20" width="12.6640625" style="78" customWidth="1"/>
    <col min="21" max="21" width="2.6640625" style="78" customWidth="1"/>
    <col min="22" max="22" width="12.6640625" style="78" customWidth="1"/>
    <col min="23" max="23" width="2.6640625" style="78" customWidth="1"/>
    <col min="24" max="24" width="2.33203125" style="78" customWidth="1"/>
    <col min="25" max="25" width="8.33203125" style="136" hidden="1" customWidth="1"/>
    <col min="26" max="26" width="9" style="136" hidden="1" customWidth="1"/>
    <col min="27" max="27" width="60.109375" style="81" customWidth="1"/>
    <col min="28" max="28" width="9.44140625" style="78" bestFit="1" customWidth="1"/>
    <col min="29" max="16384" width="9" style="78"/>
  </cols>
  <sheetData>
    <row r="1" spans="2:27" ht="26.25" customHeight="1" x14ac:dyDescent="0.2">
      <c r="B1" s="78">
        <v>1</v>
      </c>
      <c r="C1" s="79" t="s">
        <v>571</v>
      </c>
      <c r="W1" s="135" t="s">
        <v>572</v>
      </c>
    </row>
    <row r="2" spans="2:27" ht="30" customHeight="1" x14ac:dyDescent="0.2">
      <c r="B2" s="1" t="s">
        <v>576</v>
      </c>
      <c r="C2" s="1"/>
      <c r="D2" s="1"/>
      <c r="E2" s="1"/>
      <c r="F2" s="1"/>
      <c r="G2" s="1"/>
      <c r="H2" s="1"/>
      <c r="I2" s="1"/>
      <c r="J2" s="1"/>
      <c r="K2" s="1"/>
      <c r="L2" s="1"/>
      <c r="M2" s="1"/>
      <c r="N2" s="1"/>
      <c r="O2" s="1"/>
      <c r="P2" s="1"/>
      <c r="Q2" s="1"/>
      <c r="R2" s="1"/>
      <c r="S2" s="1"/>
      <c r="T2" s="1"/>
      <c r="U2" s="1"/>
      <c r="V2" s="1"/>
      <c r="W2" s="1"/>
      <c r="Y2" s="137" t="s">
        <v>0</v>
      </c>
      <c r="Z2" s="137"/>
    </row>
    <row r="3" spans="2:27" x14ac:dyDescent="0.2">
      <c r="W3" s="80" t="s">
        <v>573</v>
      </c>
      <c r="Y3" s="136" t="s">
        <v>1</v>
      </c>
    </row>
    <row r="4" spans="2:27" hidden="1" x14ac:dyDescent="0.2">
      <c r="D4" s="82" t="s">
        <v>2</v>
      </c>
    </row>
    <row r="5" spans="2:27" ht="5.0999999999999996" hidden="1" customHeight="1" x14ac:dyDescent="0.2">
      <c r="D5" s="83"/>
    </row>
    <row r="6" spans="2:27" hidden="1" x14ac:dyDescent="0.2">
      <c r="D6" s="82" t="s">
        <v>3</v>
      </c>
    </row>
    <row r="7" spans="2:27" hidden="1" x14ac:dyDescent="0.2"/>
    <row r="9" spans="2:27" s="84" customFormat="1" x14ac:dyDescent="0.2">
      <c r="C9" s="84" t="s">
        <v>280</v>
      </c>
      <c r="Y9" s="136"/>
      <c r="Z9" s="136"/>
      <c r="AA9" s="85"/>
    </row>
    <row r="10" spans="2:27" ht="5.0999999999999996" customHeight="1" x14ac:dyDescent="0.2"/>
    <row r="11" spans="2:27" x14ac:dyDescent="0.2">
      <c r="C11" s="78" t="s">
        <v>5</v>
      </c>
    </row>
    <row r="12" spans="2:27" ht="15.6" thickBot="1" x14ac:dyDescent="0.25"/>
    <row r="13" spans="2:27" ht="15.6" thickBot="1" x14ac:dyDescent="0.25">
      <c r="C13" s="212"/>
      <c r="D13" s="213"/>
      <c r="F13" s="78" t="s">
        <v>6</v>
      </c>
    </row>
    <row r="14" spans="2:27" ht="5.0999999999999996" customHeight="1" thickBot="1" x14ac:dyDescent="0.25"/>
    <row r="15" spans="2:27" ht="15.6" thickBot="1" x14ac:dyDescent="0.25">
      <c r="C15" s="214"/>
      <c r="D15" s="215"/>
      <c r="F15" s="78" t="s">
        <v>7</v>
      </c>
    </row>
    <row r="16" spans="2:27" ht="5.0999999999999996" customHeight="1" x14ac:dyDescent="0.2"/>
    <row r="18" spans="2:27" ht="5.0999999999999996" customHeight="1" x14ac:dyDescent="0.2">
      <c r="B18" s="86"/>
      <c r="C18" s="86"/>
      <c r="D18" s="86"/>
      <c r="E18" s="86"/>
      <c r="F18" s="86"/>
      <c r="G18" s="86"/>
      <c r="H18" s="86"/>
      <c r="I18" s="86"/>
      <c r="J18" s="86"/>
      <c r="K18" s="86"/>
      <c r="L18" s="86"/>
      <c r="M18" s="86"/>
      <c r="N18" s="86"/>
      <c r="O18" s="86"/>
      <c r="P18" s="86"/>
      <c r="Q18" s="86"/>
      <c r="R18" s="86"/>
      <c r="S18" s="86"/>
      <c r="T18" s="86"/>
      <c r="U18" s="86"/>
      <c r="V18" s="86"/>
      <c r="W18" s="86"/>
    </row>
    <row r="19" spans="2:27" x14ac:dyDescent="0.2">
      <c r="B19" s="86"/>
      <c r="C19" s="86" t="s">
        <v>281</v>
      </c>
      <c r="D19" s="86"/>
      <c r="E19" s="86"/>
      <c r="F19" s="86"/>
      <c r="G19" s="86"/>
      <c r="H19" s="86"/>
      <c r="I19" s="86"/>
      <c r="J19" s="86"/>
      <c r="K19" s="86"/>
      <c r="L19" s="86"/>
      <c r="M19" s="86"/>
      <c r="N19" s="86"/>
      <c r="O19" s="86"/>
      <c r="P19" s="86"/>
      <c r="Q19" s="86"/>
      <c r="R19" s="86"/>
      <c r="S19" s="86"/>
      <c r="T19" s="86"/>
      <c r="U19" s="86"/>
      <c r="V19" s="86"/>
      <c r="W19" s="86"/>
    </row>
    <row r="20" spans="2:27" ht="5.0999999999999996" customHeight="1" x14ac:dyDescent="0.2">
      <c r="B20" s="86"/>
      <c r="C20" s="86"/>
      <c r="D20" s="86"/>
      <c r="E20" s="86"/>
      <c r="F20" s="86"/>
      <c r="G20" s="86"/>
      <c r="H20" s="86"/>
      <c r="I20" s="86"/>
      <c r="J20" s="86"/>
      <c r="K20" s="86"/>
      <c r="L20" s="86"/>
      <c r="M20" s="86"/>
      <c r="N20" s="86"/>
      <c r="O20" s="86"/>
      <c r="P20" s="86"/>
      <c r="Q20" s="86"/>
      <c r="R20" s="86"/>
      <c r="S20" s="86"/>
      <c r="T20" s="86"/>
      <c r="U20" s="86"/>
      <c r="V20" s="86"/>
      <c r="W20" s="86"/>
    </row>
    <row r="21" spans="2:27" ht="15.6" thickBot="1" x14ac:dyDescent="0.25">
      <c r="B21" s="86"/>
      <c r="C21" s="86"/>
      <c r="D21" s="87"/>
      <c r="E21" s="86"/>
      <c r="F21" s="86"/>
      <c r="G21" s="86"/>
      <c r="H21" s="86"/>
      <c r="I21" s="86"/>
      <c r="J21" s="86"/>
      <c r="K21" s="86"/>
      <c r="L21" s="86"/>
      <c r="M21" s="86"/>
      <c r="N21" s="86"/>
      <c r="O21" s="86"/>
      <c r="P21" s="86"/>
      <c r="Q21" s="86"/>
      <c r="R21" s="86"/>
      <c r="S21" s="86"/>
      <c r="T21" s="86"/>
      <c r="U21" s="86"/>
      <c r="V21" s="86"/>
      <c r="W21" s="86"/>
    </row>
    <row r="22" spans="2:27" ht="18" customHeight="1" thickBot="1" x14ac:dyDescent="0.25">
      <c r="B22" s="86"/>
      <c r="C22" s="88" t="s">
        <v>4</v>
      </c>
      <c r="D22" s="86" t="s">
        <v>21</v>
      </c>
      <c r="E22" s="86"/>
      <c r="F22" s="89"/>
      <c r="G22" s="86"/>
      <c r="H22" s="86" t="s">
        <v>11</v>
      </c>
      <c r="I22" s="86"/>
      <c r="J22" s="86"/>
      <c r="K22" s="86"/>
      <c r="L22" s="86"/>
      <c r="M22" s="86"/>
      <c r="N22" s="86"/>
      <c r="O22" s="86"/>
      <c r="P22" s="86"/>
      <c r="Q22" s="86"/>
      <c r="R22" s="86"/>
      <c r="S22" s="86"/>
      <c r="T22" s="86"/>
      <c r="U22" s="86"/>
      <c r="V22" s="86"/>
      <c r="W22" s="86"/>
      <c r="AA22" s="81" t="str">
        <f ca="1">中間シート!X3</f>
        <v>事業場数を選択してください。</v>
      </c>
    </row>
    <row r="23" spans="2:27" x14ac:dyDescent="0.2">
      <c r="B23" s="86"/>
      <c r="C23" s="86"/>
      <c r="D23" s="87"/>
      <c r="E23" s="86"/>
      <c r="F23" s="86"/>
      <c r="G23" s="86"/>
      <c r="H23" s="86"/>
      <c r="I23" s="86"/>
      <c r="J23" s="86"/>
      <c r="K23" s="86"/>
      <c r="L23" s="86"/>
      <c r="M23" s="86"/>
      <c r="N23" s="86"/>
      <c r="O23" s="86"/>
      <c r="P23" s="86"/>
      <c r="Q23" s="86"/>
      <c r="R23" s="86"/>
      <c r="S23" s="86"/>
      <c r="T23" s="86"/>
      <c r="U23" s="86"/>
      <c r="V23" s="86"/>
      <c r="W23" s="86"/>
    </row>
    <row r="25" spans="2:27" ht="5.0999999999999996" customHeight="1" x14ac:dyDescent="0.2">
      <c r="B25" s="131"/>
      <c r="C25" s="131"/>
      <c r="D25" s="131"/>
      <c r="E25" s="131"/>
      <c r="F25" s="131"/>
      <c r="G25" s="131"/>
      <c r="H25" s="131"/>
      <c r="I25" s="131"/>
      <c r="J25" s="131"/>
      <c r="K25" s="131"/>
      <c r="L25" s="131"/>
      <c r="M25" s="131"/>
      <c r="N25" s="131"/>
      <c r="O25" s="131"/>
      <c r="P25" s="131"/>
      <c r="Q25" s="131"/>
      <c r="R25" s="131"/>
      <c r="S25" s="131"/>
      <c r="T25" s="131"/>
      <c r="U25" s="131"/>
      <c r="V25" s="131"/>
      <c r="W25" s="131"/>
    </row>
    <row r="26" spans="2:27" x14ac:dyDescent="0.2">
      <c r="B26" s="131"/>
      <c r="C26" s="131" t="s">
        <v>282</v>
      </c>
      <c r="D26" s="131"/>
      <c r="E26" s="131"/>
      <c r="F26" s="131"/>
      <c r="G26" s="131"/>
      <c r="H26" s="131"/>
      <c r="I26" s="131"/>
      <c r="J26" s="131"/>
      <c r="K26" s="131"/>
      <c r="L26" s="131"/>
      <c r="M26" s="131"/>
      <c r="N26" s="131"/>
      <c r="O26" s="131"/>
      <c r="P26" s="131"/>
      <c r="Q26" s="131"/>
      <c r="R26" s="131"/>
      <c r="S26" s="131"/>
      <c r="T26" s="131"/>
      <c r="U26" s="131"/>
      <c r="V26" s="131"/>
      <c r="W26" s="131"/>
    </row>
    <row r="27" spans="2:27" ht="5.0999999999999996" customHeight="1" x14ac:dyDescent="0.2">
      <c r="B27" s="131"/>
      <c r="C27" s="131"/>
      <c r="D27" s="131"/>
      <c r="E27" s="131"/>
      <c r="F27" s="131"/>
      <c r="G27" s="131"/>
      <c r="H27" s="131"/>
      <c r="I27" s="131"/>
      <c r="J27" s="131"/>
      <c r="K27" s="131"/>
      <c r="L27" s="131"/>
      <c r="M27" s="131"/>
      <c r="N27" s="131"/>
      <c r="O27" s="131"/>
      <c r="P27" s="131"/>
      <c r="Q27" s="131"/>
      <c r="R27" s="131"/>
      <c r="S27" s="131"/>
      <c r="T27" s="131"/>
      <c r="U27" s="131"/>
      <c r="V27" s="131"/>
      <c r="W27" s="131"/>
    </row>
    <row r="28" spans="2:27" x14ac:dyDescent="0.2">
      <c r="B28" s="131"/>
      <c r="C28" s="131"/>
      <c r="D28" s="131"/>
      <c r="E28" s="131"/>
      <c r="F28" s="131"/>
      <c r="G28" s="131"/>
      <c r="H28" s="131"/>
      <c r="I28" s="131"/>
      <c r="J28" s="131"/>
      <c r="K28" s="131"/>
      <c r="L28" s="131"/>
      <c r="M28" s="131"/>
      <c r="N28" s="131"/>
      <c r="O28" s="131"/>
      <c r="P28" s="131"/>
      <c r="Q28" s="131"/>
      <c r="R28" s="131"/>
      <c r="S28" s="131"/>
      <c r="T28" s="131"/>
      <c r="U28" s="131"/>
      <c r="V28" s="131"/>
      <c r="W28" s="131"/>
    </row>
    <row r="29" spans="2:27" x14ac:dyDescent="0.2">
      <c r="B29" s="131"/>
      <c r="C29" s="131" t="s">
        <v>22</v>
      </c>
      <c r="D29" s="131"/>
      <c r="E29" s="131"/>
      <c r="F29" s="131"/>
      <c r="G29" s="131"/>
      <c r="H29" s="131"/>
      <c r="I29" s="131"/>
      <c r="J29" s="131"/>
      <c r="K29" s="131"/>
      <c r="L29" s="131"/>
      <c r="M29" s="131"/>
      <c r="N29" s="131"/>
      <c r="O29" s="131"/>
      <c r="P29" s="131"/>
      <c r="Q29" s="131"/>
      <c r="R29" s="131"/>
      <c r="S29" s="131"/>
      <c r="T29" s="131"/>
      <c r="U29" s="131"/>
      <c r="V29" s="131"/>
      <c r="W29" s="131"/>
    </row>
    <row r="30" spans="2:27" ht="5.0999999999999996" customHeight="1" thickBot="1" x14ac:dyDescent="0.25">
      <c r="B30" s="131"/>
      <c r="C30" s="90"/>
      <c r="D30" s="131"/>
      <c r="E30" s="131"/>
      <c r="F30" s="131"/>
      <c r="G30" s="131"/>
      <c r="H30" s="131"/>
      <c r="I30" s="131"/>
      <c r="J30" s="131"/>
      <c r="K30" s="131"/>
      <c r="L30" s="131"/>
      <c r="M30" s="131"/>
      <c r="N30" s="131"/>
      <c r="O30" s="131"/>
      <c r="P30" s="131"/>
      <c r="Q30" s="131"/>
      <c r="R30" s="131"/>
      <c r="S30" s="131"/>
      <c r="T30" s="131"/>
      <c r="U30" s="131"/>
      <c r="V30" s="131"/>
      <c r="W30" s="131"/>
    </row>
    <row r="31" spans="2:27" ht="18" customHeight="1" thickBot="1" x14ac:dyDescent="0.25">
      <c r="B31" s="131"/>
      <c r="C31" s="91" t="s">
        <v>4</v>
      </c>
      <c r="D31" s="131" t="s">
        <v>23</v>
      </c>
      <c r="E31" s="131"/>
      <c r="F31" s="222"/>
      <c r="G31" s="223"/>
      <c r="H31" s="223"/>
      <c r="I31" s="223"/>
      <c r="J31" s="224"/>
      <c r="K31" s="131"/>
      <c r="L31" s="131"/>
      <c r="M31" s="131"/>
      <c r="N31" s="131"/>
      <c r="O31" s="131"/>
      <c r="P31" s="131"/>
      <c r="Q31" s="131"/>
      <c r="R31" s="131"/>
      <c r="S31" s="131"/>
      <c r="T31" s="131"/>
      <c r="U31" s="131"/>
      <c r="V31" s="131"/>
      <c r="W31" s="131"/>
      <c r="AA31" s="81" t="str">
        <f ca="1">中間シート!X4</f>
        <v>事業場名を入力してください。</v>
      </c>
    </row>
    <row r="32" spans="2:27" ht="5.0999999999999996" customHeight="1" thickBot="1" x14ac:dyDescent="0.25">
      <c r="B32" s="131"/>
      <c r="C32" s="90"/>
      <c r="D32" s="131"/>
      <c r="E32" s="131"/>
      <c r="F32" s="131"/>
      <c r="G32" s="131"/>
      <c r="H32" s="131"/>
      <c r="I32" s="131"/>
      <c r="J32" s="131"/>
      <c r="K32" s="131"/>
      <c r="L32" s="131"/>
      <c r="M32" s="131"/>
      <c r="N32" s="131"/>
      <c r="O32" s="131"/>
      <c r="P32" s="131"/>
      <c r="Q32" s="131"/>
      <c r="R32" s="131"/>
      <c r="S32" s="131"/>
      <c r="T32" s="131"/>
      <c r="U32" s="131"/>
      <c r="V32" s="131"/>
      <c r="W32" s="131"/>
    </row>
    <row r="33" spans="2:27" ht="18" customHeight="1" thickBot="1" x14ac:dyDescent="0.25">
      <c r="B33" s="131"/>
      <c r="C33" s="91" t="s">
        <v>4</v>
      </c>
      <c r="D33" s="131" t="s">
        <v>8</v>
      </c>
      <c r="E33" s="131"/>
      <c r="F33" s="92"/>
      <c r="G33" s="93" t="s">
        <v>9</v>
      </c>
      <c r="H33" s="92"/>
      <c r="I33" s="131"/>
      <c r="J33" s="131"/>
      <c r="K33" s="131"/>
      <c r="L33" s="131"/>
      <c r="M33" s="131"/>
      <c r="N33" s="131"/>
      <c r="O33" s="131"/>
      <c r="P33" s="131"/>
      <c r="Q33" s="131"/>
      <c r="R33" s="131"/>
      <c r="S33" s="131"/>
      <c r="T33" s="131"/>
      <c r="U33" s="131"/>
      <c r="V33" s="131"/>
      <c r="W33" s="131"/>
      <c r="AA33" s="81" t="str">
        <f ca="1">中間シート!X5</f>
        <v>郵便番号を入力してください。</v>
      </c>
    </row>
    <row r="34" spans="2:27" ht="5.0999999999999996" customHeight="1" thickBot="1" x14ac:dyDescent="0.25">
      <c r="B34" s="131"/>
      <c r="C34" s="90"/>
      <c r="D34" s="131"/>
      <c r="E34" s="131"/>
      <c r="F34" s="131"/>
      <c r="G34" s="131"/>
      <c r="H34" s="131"/>
      <c r="I34" s="131"/>
      <c r="J34" s="131"/>
      <c r="K34" s="131"/>
      <c r="L34" s="131"/>
      <c r="M34" s="131"/>
      <c r="N34" s="131"/>
      <c r="O34" s="131"/>
      <c r="P34" s="131"/>
      <c r="Q34" s="131"/>
      <c r="R34" s="131"/>
      <c r="S34" s="131"/>
      <c r="T34" s="131"/>
      <c r="U34" s="131"/>
      <c r="V34" s="131"/>
      <c r="W34" s="131"/>
    </row>
    <row r="35" spans="2:27" ht="18" customHeight="1" thickBot="1" x14ac:dyDescent="0.25">
      <c r="B35" s="131"/>
      <c r="C35" s="91" t="s">
        <v>4</v>
      </c>
      <c r="D35" s="131" t="s">
        <v>10</v>
      </c>
      <c r="E35" s="131"/>
      <c r="F35" s="94"/>
      <c r="G35" s="131"/>
      <c r="H35" s="131" t="s">
        <v>11</v>
      </c>
      <c r="I35" s="131"/>
      <c r="J35" s="131"/>
      <c r="K35" s="131"/>
      <c r="L35" s="131" t="s">
        <v>12</v>
      </c>
      <c r="M35" s="131"/>
      <c r="N35" s="131"/>
      <c r="O35" s="131"/>
      <c r="P35" s="131"/>
      <c r="Q35" s="131"/>
      <c r="R35" s="131"/>
      <c r="S35" s="131"/>
      <c r="T35" s="131"/>
      <c r="U35" s="131"/>
      <c r="V35" s="131"/>
      <c r="W35" s="131"/>
      <c r="AA35" s="81" t="str">
        <f ca="1">中間シート!X6</f>
        <v>都道府県を選択してください。</v>
      </c>
    </row>
    <row r="36" spans="2:27" ht="5.0999999999999996" customHeight="1" thickBot="1" x14ac:dyDescent="0.25">
      <c r="B36" s="131"/>
      <c r="C36" s="90"/>
      <c r="D36" s="131"/>
      <c r="E36" s="131"/>
      <c r="F36" s="131"/>
      <c r="G36" s="131"/>
      <c r="H36" s="131"/>
      <c r="I36" s="131"/>
      <c r="J36" s="131"/>
      <c r="K36" s="131"/>
      <c r="L36" s="131"/>
      <c r="M36" s="131"/>
      <c r="N36" s="131"/>
      <c r="O36" s="131"/>
      <c r="P36" s="131"/>
      <c r="Q36" s="131"/>
      <c r="R36" s="131"/>
      <c r="S36" s="131"/>
      <c r="T36" s="131"/>
      <c r="U36" s="131"/>
      <c r="V36" s="131"/>
      <c r="W36" s="131"/>
    </row>
    <row r="37" spans="2:27" ht="18" customHeight="1" thickBot="1" x14ac:dyDescent="0.25">
      <c r="B37" s="131"/>
      <c r="C37" s="91" t="s">
        <v>4</v>
      </c>
      <c r="D37" s="131" t="s">
        <v>13</v>
      </c>
      <c r="E37" s="131"/>
      <c r="F37" s="222"/>
      <c r="G37" s="223"/>
      <c r="H37" s="223"/>
      <c r="I37" s="223"/>
      <c r="J37" s="224"/>
      <c r="K37" s="131"/>
      <c r="L37" s="131" t="s">
        <v>14</v>
      </c>
      <c r="M37" s="131"/>
      <c r="N37" s="131"/>
      <c r="O37" s="131"/>
      <c r="P37" s="131"/>
      <c r="Q37" s="131"/>
      <c r="R37" s="131"/>
      <c r="S37" s="131"/>
      <c r="T37" s="131"/>
      <c r="U37" s="131"/>
      <c r="V37" s="131"/>
      <c r="W37" s="131"/>
      <c r="AA37" s="81" t="str">
        <f ca="1">中間シート!X7</f>
        <v>市区町村を入力してください。</v>
      </c>
    </row>
    <row r="38" spans="2:27" ht="5.0999999999999996" customHeight="1" thickBot="1" x14ac:dyDescent="0.25">
      <c r="B38" s="131"/>
      <c r="C38" s="90"/>
      <c r="D38" s="131"/>
      <c r="E38" s="131"/>
      <c r="F38" s="131"/>
      <c r="G38" s="131"/>
      <c r="H38" s="131"/>
      <c r="I38" s="131"/>
      <c r="J38" s="131"/>
      <c r="K38" s="131"/>
      <c r="L38" s="131"/>
      <c r="M38" s="131"/>
      <c r="N38" s="131"/>
      <c r="O38" s="131"/>
      <c r="P38" s="131"/>
      <c r="Q38" s="131"/>
      <c r="R38" s="131"/>
      <c r="S38" s="131"/>
      <c r="T38" s="131"/>
      <c r="U38" s="131"/>
      <c r="V38" s="131"/>
      <c r="W38" s="131"/>
    </row>
    <row r="39" spans="2:27" ht="18" customHeight="1" thickBot="1" x14ac:dyDescent="0.25">
      <c r="B39" s="131"/>
      <c r="C39" s="91" t="s">
        <v>4</v>
      </c>
      <c r="D39" s="131" t="s">
        <v>15</v>
      </c>
      <c r="E39" s="131"/>
      <c r="F39" s="225"/>
      <c r="G39" s="226"/>
      <c r="H39" s="226"/>
      <c r="I39" s="226"/>
      <c r="J39" s="227"/>
      <c r="K39" s="131"/>
      <c r="L39" s="131" t="s">
        <v>16</v>
      </c>
      <c r="M39" s="131"/>
      <c r="N39" s="131"/>
      <c r="O39" s="131"/>
      <c r="P39" s="131" t="s">
        <v>17</v>
      </c>
      <c r="Q39" s="131"/>
      <c r="R39" s="131"/>
      <c r="S39" s="131"/>
      <c r="T39" s="131"/>
      <c r="U39" s="131"/>
      <c r="V39" s="131"/>
      <c r="W39" s="131"/>
      <c r="AA39" s="81" t="str">
        <f ca="1">中間シート!X8</f>
        <v>町名地番を入力してください。</v>
      </c>
    </row>
    <row r="40" spans="2:27" ht="5.0999999999999996" customHeight="1" thickBot="1" x14ac:dyDescent="0.25">
      <c r="B40" s="131"/>
      <c r="C40" s="95"/>
      <c r="D40" s="131"/>
      <c r="E40" s="131"/>
      <c r="F40" s="131"/>
      <c r="G40" s="131"/>
      <c r="H40" s="131"/>
      <c r="I40" s="131"/>
      <c r="J40" s="131"/>
      <c r="K40" s="131"/>
      <c r="L40" s="131"/>
      <c r="M40" s="131"/>
      <c r="N40" s="131"/>
      <c r="O40" s="131"/>
      <c r="P40" s="131"/>
      <c r="Q40" s="131"/>
      <c r="R40" s="131"/>
      <c r="S40" s="131"/>
      <c r="T40" s="131"/>
      <c r="U40" s="131"/>
      <c r="V40" s="131"/>
      <c r="W40" s="131"/>
    </row>
    <row r="41" spans="2:27" ht="18" customHeight="1" thickBot="1" x14ac:dyDescent="0.25">
      <c r="B41" s="131"/>
      <c r="C41" s="95"/>
      <c r="D41" s="131" t="s">
        <v>18</v>
      </c>
      <c r="E41" s="131"/>
      <c r="F41" s="225"/>
      <c r="G41" s="226"/>
      <c r="H41" s="226"/>
      <c r="I41" s="226"/>
      <c r="J41" s="227"/>
      <c r="K41" s="131"/>
      <c r="L41" s="131" t="s">
        <v>19</v>
      </c>
      <c r="M41" s="131"/>
      <c r="N41" s="131"/>
      <c r="O41" s="131"/>
      <c r="P41" s="131" t="s">
        <v>20</v>
      </c>
      <c r="Q41" s="131"/>
      <c r="R41" s="131"/>
      <c r="S41" s="131"/>
      <c r="T41" s="131"/>
      <c r="U41" s="131"/>
      <c r="V41" s="131"/>
      <c r="W41" s="131"/>
    </row>
    <row r="42" spans="2:27" ht="5.0999999999999996" customHeight="1" x14ac:dyDescent="0.2">
      <c r="B42" s="131"/>
      <c r="C42" s="95"/>
      <c r="D42" s="131"/>
      <c r="E42" s="131"/>
      <c r="F42" s="131"/>
      <c r="G42" s="131"/>
      <c r="H42" s="131"/>
      <c r="I42" s="131"/>
      <c r="J42" s="131"/>
      <c r="K42" s="131"/>
      <c r="L42" s="131"/>
      <c r="M42" s="131"/>
      <c r="N42" s="131"/>
      <c r="O42" s="131"/>
      <c r="P42" s="131"/>
      <c r="Q42" s="131"/>
      <c r="R42" s="131"/>
      <c r="S42" s="131"/>
      <c r="T42" s="131"/>
      <c r="U42" s="131"/>
      <c r="V42" s="131"/>
      <c r="W42" s="131"/>
    </row>
    <row r="43" spans="2:27" x14ac:dyDescent="0.2">
      <c r="B43" s="131"/>
      <c r="C43" s="95"/>
      <c r="D43" s="131"/>
      <c r="E43" s="131"/>
      <c r="F43" s="131"/>
      <c r="G43" s="131"/>
      <c r="H43" s="131"/>
      <c r="I43" s="131"/>
      <c r="J43" s="131"/>
      <c r="K43" s="131"/>
      <c r="L43" s="131"/>
      <c r="M43" s="131"/>
      <c r="N43" s="131"/>
      <c r="O43" s="131"/>
      <c r="P43" s="131"/>
      <c r="Q43" s="131"/>
      <c r="R43" s="131"/>
      <c r="S43" s="131"/>
      <c r="T43" s="131"/>
      <c r="U43" s="131"/>
      <c r="V43" s="131"/>
      <c r="W43" s="131"/>
    </row>
    <row r="44" spans="2:27" x14ac:dyDescent="0.2">
      <c r="B44" s="131"/>
      <c r="C44" s="95"/>
      <c r="D44" s="131"/>
      <c r="E44" s="131"/>
      <c r="F44" s="131"/>
      <c r="G44" s="131"/>
      <c r="H44" s="131"/>
      <c r="I44" s="131"/>
      <c r="J44" s="131"/>
      <c r="K44" s="131"/>
      <c r="L44" s="131"/>
      <c r="M44" s="131"/>
      <c r="N44" s="131"/>
      <c r="O44" s="131"/>
      <c r="P44" s="131"/>
      <c r="Q44" s="131"/>
      <c r="R44" s="131"/>
      <c r="S44" s="131"/>
      <c r="T44" s="131"/>
      <c r="U44" s="131"/>
      <c r="V44" s="131"/>
      <c r="W44" s="131"/>
    </row>
    <row r="45" spans="2:27" x14ac:dyDescent="0.2">
      <c r="B45" s="131"/>
      <c r="C45" s="131" t="s">
        <v>314</v>
      </c>
      <c r="D45" s="131"/>
      <c r="E45" s="131"/>
      <c r="F45" s="131"/>
      <c r="G45" s="131"/>
      <c r="H45" s="131"/>
      <c r="I45" s="131"/>
      <c r="J45" s="131"/>
      <c r="K45" s="131"/>
      <c r="L45" s="131"/>
      <c r="M45" s="131"/>
      <c r="N45" s="131"/>
      <c r="O45" s="131"/>
      <c r="P45" s="131"/>
      <c r="Q45" s="131"/>
      <c r="R45" s="131"/>
      <c r="S45" s="131"/>
      <c r="T45" s="131"/>
      <c r="U45" s="131"/>
      <c r="V45" s="131"/>
      <c r="W45" s="131"/>
    </row>
    <row r="46" spans="2:27" ht="5.0999999999999996" customHeight="1" x14ac:dyDescent="0.2">
      <c r="B46" s="131"/>
      <c r="C46" s="131"/>
      <c r="D46" s="131"/>
      <c r="E46" s="131"/>
      <c r="F46" s="131"/>
      <c r="G46" s="131"/>
      <c r="H46" s="131"/>
      <c r="I46" s="131"/>
      <c r="J46" s="131"/>
      <c r="K46" s="131"/>
      <c r="L46" s="131"/>
      <c r="M46" s="131"/>
      <c r="N46" s="131"/>
      <c r="O46" s="131"/>
      <c r="P46" s="131"/>
      <c r="Q46" s="131"/>
      <c r="R46" s="131"/>
      <c r="S46" s="131"/>
      <c r="T46" s="131"/>
      <c r="U46" s="131"/>
      <c r="V46" s="131"/>
      <c r="W46" s="131"/>
    </row>
    <row r="47" spans="2:27" x14ac:dyDescent="0.2">
      <c r="B47" s="131"/>
      <c r="C47" s="131"/>
      <c r="D47" s="96" t="s">
        <v>517</v>
      </c>
      <c r="E47" s="131"/>
      <c r="F47" s="131"/>
      <c r="G47" s="131"/>
      <c r="H47" s="131"/>
      <c r="I47" s="131"/>
      <c r="J47" s="131"/>
      <c r="K47" s="131"/>
      <c r="L47" s="131"/>
      <c r="M47" s="131"/>
      <c r="N47" s="131"/>
      <c r="O47" s="131"/>
      <c r="P47" s="131"/>
      <c r="Q47" s="131"/>
      <c r="R47" s="131"/>
      <c r="S47" s="131"/>
      <c r="T47" s="131"/>
      <c r="U47" s="131"/>
      <c r="V47" s="131"/>
      <c r="W47" s="131"/>
    </row>
    <row r="48" spans="2:27" x14ac:dyDescent="0.2">
      <c r="B48" s="131"/>
      <c r="C48" s="131"/>
      <c r="D48" s="138"/>
      <c r="E48" s="131"/>
      <c r="F48" s="131"/>
      <c r="G48" s="131"/>
      <c r="H48" s="131"/>
      <c r="I48" s="131"/>
      <c r="J48" s="131"/>
      <c r="K48" s="131"/>
      <c r="L48" s="131"/>
      <c r="M48" s="131"/>
      <c r="N48" s="131"/>
      <c r="O48" s="131"/>
      <c r="P48" s="131"/>
      <c r="Q48" s="131"/>
      <c r="R48" s="131"/>
      <c r="S48" s="131"/>
      <c r="T48" s="131"/>
      <c r="U48" s="131"/>
      <c r="V48" s="131"/>
      <c r="W48" s="131"/>
    </row>
    <row r="49" spans="2:27" x14ac:dyDescent="0.2">
      <c r="B49" s="131"/>
      <c r="C49" s="95"/>
      <c r="D49" s="131"/>
      <c r="E49" s="131"/>
      <c r="F49" s="131"/>
      <c r="G49" s="131"/>
      <c r="H49" s="131"/>
      <c r="I49" s="131"/>
      <c r="J49" s="131"/>
      <c r="K49" s="131"/>
      <c r="L49" s="131"/>
      <c r="M49" s="131"/>
      <c r="N49" s="131"/>
      <c r="O49" s="131"/>
      <c r="P49" s="131"/>
      <c r="Q49" s="131"/>
      <c r="R49" s="131"/>
      <c r="S49" s="131"/>
      <c r="T49" s="131"/>
      <c r="U49" s="131"/>
      <c r="V49" s="131"/>
      <c r="W49" s="131"/>
    </row>
    <row r="50" spans="2:27" x14ac:dyDescent="0.2">
      <c r="B50" s="131"/>
      <c r="C50" s="97" t="s">
        <v>24</v>
      </c>
      <c r="D50" s="131" t="s">
        <v>25</v>
      </c>
      <c r="E50" s="131"/>
      <c r="F50" s="131"/>
      <c r="G50" s="131"/>
      <c r="H50" s="131"/>
      <c r="I50" s="131"/>
      <c r="J50" s="131"/>
      <c r="K50" s="131"/>
      <c r="L50" s="131"/>
      <c r="M50" s="131"/>
      <c r="N50" s="131"/>
      <c r="O50" s="131"/>
      <c r="P50" s="131"/>
      <c r="Q50" s="131"/>
      <c r="R50" s="131"/>
      <c r="S50" s="131"/>
      <c r="T50" s="131"/>
      <c r="U50" s="131"/>
      <c r="V50" s="131"/>
      <c r="W50" s="131"/>
    </row>
    <row r="51" spans="2:27" ht="5.0999999999999996" customHeight="1" x14ac:dyDescent="0.2">
      <c r="B51" s="131"/>
      <c r="C51" s="131"/>
      <c r="D51" s="131"/>
      <c r="E51" s="131"/>
      <c r="F51" s="131"/>
      <c r="G51" s="131"/>
      <c r="H51" s="131"/>
      <c r="I51" s="131"/>
      <c r="J51" s="131"/>
      <c r="K51" s="131"/>
      <c r="L51" s="131"/>
      <c r="M51" s="131"/>
      <c r="N51" s="131"/>
      <c r="O51" s="131"/>
      <c r="P51" s="131"/>
      <c r="Q51" s="131"/>
      <c r="R51" s="131"/>
      <c r="S51" s="131"/>
      <c r="T51" s="131"/>
      <c r="U51" s="131"/>
      <c r="V51" s="131"/>
      <c r="W51" s="131"/>
    </row>
    <row r="52" spans="2:27" ht="27" customHeight="1" x14ac:dyDescent="0.2">
      <c r="B52" s="131"/>
      <c r="C52" s="95"/>
      <c r="D52" s="216" t="s">
        <v>574</v>
      </c>
      <c r="E52" s="217"/>
      <c r="F52" s="217"/>
      <c r="G52" s="217"/>
      <c r="H52" s="217"/>
      <c r="I52" s="217"/>
      <c r="J52" s="217"/>
      <c r="K52" s="217"/>
      <c r="L52" s="217"/>
      <c r="M52" s="217"/>
      <c r="N52" s="217"/>
      <c r="O52" s="217"/>
      <c r="P52" s="217"/>
      <c r="Q52" s="217"/>
      <c r="R52" s="217"/>
      <c r="S52" s="217"/>
      <c r="T52" s="217"/>
      <c r="U52" s="217"/>
      <c r="V52" s="217"/>
      <c r="W52" s="131"/>
    </row>
    <row r="53" spans="2:27" ht="5.0999999999999996" customHeight="1" x14ac:dyDescent="0.2">
      <c r="B53" s="131"/>
      <c r="C53" s="95"/>
      <c r="D53" s="131"/>
      <c r="E53" s="95"/>
      <c r="F53" s="95"/>
      <c r="G53" s="131"/>
      <c r="H53" s="131"/>
      <c r="I53" s="131"/>
      <c r="J53" s="131"/>
      <c r="K53" s="131"/>
      <c r="L53" s="131"/>
      <c r="M53" s="131"/>
      <c r="N53" s="131"/>
      <c r="O53" s="131"/>
      <c r="P53" s="131"/>
      <c r="Q53" s="131"/>
      <c r="R53" s="131"/>
      <c r="S53" s="131"/>
      <c r="T53" s="131"/>
      <c r="U53" s="131"/>
      <c r="V53" s="131"/>
      <c r="W53" s="131"/>
    </row>
    <row r="54" spans="2:27" ht="27" customHeight="1" x14ac:dyDescent="0.2">
      <c r="B54" s="131"/>
      <c r="C54" s="95"/>
      <c r="D54" s="216"/>
      <c r="E54" s="216"/>
      <c r="F54" s="216"/>
      <c r="G54" s="216"/>
      <c r="H54" s="216"/>
      <c r="I54" s="216"/>
      <c r="J54" s="216"/>
      <c r="K54" s="216"/>
      <c r="L54" s="216"/>
      <c r="M54" s="216"/>
      <c r="N54" s="216"/>
      <c r="O54" s="216"/>
      <c r="P54" s="216"/>
      <c r="Q54" s="216"/>
      <c r="R54" s="216"/>
      <c r="S54" s="216"/>
      <c r="T54" s="216"/>
      <c r="U54" s="216"/>
      <c r="V54" s="216"/>
      <c r="W54" s="131"/>
    </row>
    <row r="55" spans="2:27" x14ac:dyDescent="0.2">
      <c r="B55" s="131"/>
      <c r="C55" s="95"/>
      <c r="D55" s="95"/>
      <c r="E55" s="95"/>
      <c r="F55" s="95"/>
      <c r="G55" s="131"/>
      <c r="H55" s="131"/>
      <c r="I55" s="131"/>
      <c r="J55" s="131"/>
      <c r="K55" s="131"/>
      <c r="L55" s="131"/>
      <c r="M55" s="131"/>
      <c r="N55" s="131"/>
      <c r="O55" s="131"/>
      <c r="P55" s="131"/>
      <c r="Q55" s="131"/>
      <c r="R55" s="131"/>
      <c r="S55" s="131"/>
      <c r="T55" s="131"/>
      <c r="U55" s="131"/>
      <c r="V55" s="131"/>
      <c r="W55" s="131"/>
    </row>
    <row r="56" spans="2:27" ht="31.5" customHeight="1" x14ac:dyDescent="0.2">
      <c r="B56" s="131"/>
      <c r="C56" s="95"/>
      <c r="D56" s="131"/>
      <c r="E56" s="95"/>
      <c r="F56" s="98" t="s">
        <v>521</v>
      </c>
      <c r="G56" s="131"/>
      <c r="H56" s="130"/>
      <c r="I56" s="131"/>
      <c r="J56" s="98" t="s">
        <v>503</v>
      </c>
      <c r="K56" s="131"/>
      <c r="L56" s="131"/>
      <c r="M56" s="131"/>
      <c r="N56" s="98"/>
      <c r="O56" s="131"/>
      <c r="P56" s="131"/>
      <c r="Q56" s="131"/>
      <c r="R56" s="131"/>
      <c r="S56" s="131"/>
      <c r="T56" s="131"/>
      <c r="U56" s="131"/>
      <c r="V56" s="131"/>
      <c r="W56" s="131"/>
    </row>
    <row r="57" spans="2:27" ht="5.0999999999999996" customHeight="1" thickBot="1" x14ac:dyDescent="0.25">
      <c r="B57" s="131"/>
      <c r="C57" s="131"/>
      <c r="D57" s="131"/>
      <c r="E57" s="95"/>
      <c r="F57" s="131"/>
      <c r="G57" s="131"/>
      <c r="H57" s="130"/>
      <c r="I57" s="131"/>
      <c r="J57" s="131"/>
      <c r="K57" s="131"/>
      <c r="L57" s="131"/>
      <c r="M57" s="131"/>
      <c r="N57" s="131"/>
      <c r="O57" s="131"/>
      <c r="P57" s="131"/>
      <c r="Q57" s="131"/>
      <c r="R57" s="131"/>
      <c r="S57" s="131"/>
      <c r="T57" s="131"/>
      <c r="U57" s="131"/>
      <c r="V57" s="131"/>
      <c r="W57" s="131"/>
    </row>
    <row r="58" spans="2:27" ht="18" customHeight="1" thickBot="1" x14ac:dyDescent="0.25">
      <c r="B58" s="131"/>
      <c r="C58" s="99" t="s">
        <v>29</v>
      </c>
      <c r="D58" s="95" t="s">
        <v>506</v>
      </c>
      <c r="E58" s="95"/>
      <c r="F58" s="100"/>
      <c r="G58" s="101"/>
      <c r="H58" s="130"/>
      <c r="I58" s="101"/>
      <c r="J58" s="218" t="str">
        <f>IFERROR(VLOOKUP($F58,補助対象研修一覧!$A$2:$K$224,2,FALSE),"")</f>
        <v/>
      </c>
      <c r="K58" s="219"/>
      <c r="L58" s="219"/>
      <c r="M58" s="219"/>
      <c r="N58" s="219"/>
      <c r="O58" s="219"/>
      <c r="P58" s="219"/>
      <c r="Q58" s="219"/>
      <c r="R58" s="219"/>
      <c r="S58" s="219"/>
      <c r="T58" s="220"/>
      <c r="U58" s="131"/>
      <c r="V58" s="131"/>
      <c r="W58" s="131"/>
      <c r="Y58" s="136">
        <f>IF(J58&lt;&gt;"",1,IF(H58="なし",2,0))</f>
        <v>0</v>
      </c>
      <c r="Z58" s="102" t="str">
        <f>IF(H58&lt;&gt;"","④",中間シート!P187)</f>
        <v/>
      </c>
      <c r="AA58" s="103" t="str">
        <f ca="1">中間シート!X187</f>
        <v>コード番号を選択してください。</v>
      </c>
    </row>
    <row r="59" spans="2:27" ht="15.6" thickBot="1" x14ac:dyDescent="0.25">
      <c r="B59" s="131"/>
      <c r="C59" s="95"/>
      <c r="D59" s="95"/>
      <c r="E59" s="95"/>
      <c r="F59" s="101"/>
      <c r="G59" s="101"/>
      <c r="H59" s="130"/>
      <c r="I59" s="97"/>
      <c r="J59" s="104"/>
      <c r="K59" s="104"/>
      <c r="L59" s="104"/>
      <c r="M59" s="104"/>
      <c r="N59" s="104"/>
      <c r="O59" s="104"/>
      <c r="P59" s="104"/>
      <c r="Q59" s="104"/>
      <c r="R59" s="131"/>
      <c r="S59" s="131"/>
      <c r="T59" s="131"/>
      <c r="U59" s="131"/>
      <c r="V59" s="131"/>
      <c r="W59" s="131"/>
      <c r="AA59" s="103"/>
    </row>
    <row r="60" spans="2:27" ht="18" customHeight="1" thickBot="1" x14ac:dyDescent="0.25">
      <c r="B60" s="131"/>
      <c r="C60" s="95"/>
      <c r="D60" s="95" t="s">
        <v>507</v>
      </c>
      <c r="E60" s="95"/>
      <c r="F60" s="100"/>
      <c r="G60" s="101"/>
      <c r="H60" s="130"/>
      <c r="I60" s="97"/>
      <c r="J60" s="218" t="str">
        <f>IFERROR(VLOOKUP($F60,補助対象研修一覧!$A$2:$K$224,2,FALSE),"")</f>
        <v/>
      </c>
      <c r="K60" s="219"/>
      <c r="L60" s="219"/>
      <c r="M60" s="219"/>
      <c r="N60" s="219"/>
      <c r="O60" s="219"/>
      <c r="P60" s="219"/>
      <c r="Q60" s="219"/>
      <c r="R60" s="219"/>
      <c r="S60" s="219"/>
      <c r="T60" s="220"/>
      <c r="U60" s="131"/>
      <c r="V60" s="131"/>
      <c r="W60" s="131"/>
      <c r="Y60" s="136">
        <f>IF(J60&lt;&gt;"",1,IF(H60="なし",2,0))</f>
        <v>0</v>
      </c>
      <c r="Z60" s="102" t="str">
        <f>IF(H60&lt;&gt;"","④",中間シート!P188)</f>
        <v/>
      </c>
      <c r="AA60" s="103" t="str">
        <f ca="1">中間シート!X188</f>
        <v/>
      </c>
    </row>
    <row r="61" spans="2:27" ht="15.6" thickBot="1" x14ac:dyDescent="0.25">
      <c r="B61" s="131"/>
      <c r="C61" s="95"/>
      <c r="D61" s="95"/>
      <c r="E61" s="95"/>
      <c r="F61" s="101"/>
      <c r="G61" s="101"/>
      <c r="H61" s="130"/>
      <c r="I61" s="97"/>
      <c r="J61" s="104"/>
      <c r="K61" s="104"/>
      <c r="L61" s="104"/>
      <c r="M61" s="104"/>
      <c r="N61" s="104"/>
      <c r="O61" s="104"/>
      <c r="P61" s="104"/>
      <c r="Q61" s="104"/>
      <c r="R61" s="131"/>
      <c r="S61" s="131"/>
      <c r="T61" s="131"/>
      <c r="U61" s="131"/>
      <c r="V61" s="131"/>
      <c r="W61" s="131"/>
      <c r="AA61" s="103"/>
    </row>
    <row r="62" spans="2:27" ht="18" customHeight="1" thickBot="1" x14ac:dyDescent="0.25">
      <c r="B62" s="131"/>
      <c r="C62" s="95"/>
      <c r="D62" s="105" t="s">
        <v>508</v>
      </c>
      <c r="E62" s="95"/>
      <c r="F62" s="100"/>
      <c r="G62" s="106"/>
      <c r="H62" s="130"/>
      <c r="I62" s="97"/>
      <c r="J62" s="218" t="str">
        <f>IFERROR(VLOOKUP($F62,補助対象研修一覧!$A$2:$K$224,2,FALSE),"")</f>
        <v/>
      </c>
      <c r="K62" s="219"/>
      <c r="L62" s="219"/>
      <c r="M62" s="219"/>
      <c r="N62" s="219"/>
      <c r="O62" s="219"/>
      <c r="P62" s="219"/>
      <c r="Q62" s="219"/>
      <c r="R62" s="219"/>
      <c r="S62" s="219"/>
      <c r="T62" s="220"/>
      <c r="U62" s="131"/>
      <c r="V62" s="131"/>
      <c r="W62" s="131"/>
      <c r="Y62" s="136">
        <f>IF(J62&lt;&gt;"",1,IF(H62="なし",2,0))</f>
        <v>0</v>
      </c>
      <c r="Z62" s="102" t="str">
        <f>IF(H62&lt;&gt;"","④",中間シート!P189)</f>
        <v/>
      </c>
      <c r="AA62" s="285" t="str">
        <f ca="1">中間シート!X189</f>
        <v/>
      </c>
    </row>
    <row r="63" spans="2:27" ht="27" customHeight="1" x14ac:dyDescent="0.2">
      <c r="B63" s="131"/>
      <c r="C63" s="107"/>
      <c r="D63" s="131"/>
      <c r="E63" s="131"/>
      <c r="F63" s="131"/>
      <c r="G63" s="131"/>
      <c r="H63" s="130"/>
      <c r="I63" s="131"/>
      <c r="J63" s="131"/>
      <c r="K63" s="131"/>
      <c r="L63" s="131"/>
      <c r="M63" s="131"/>
      <c r="N63" s="131"/>
      <c r="O63" s="131"/>
      <c r="P63" s="131"/>
      <c r="Q63" s="131"/>
      <c r="R63" s="131"/>
      <c r="S63" s="131"/>
      <c r="T63" s="131"/>
      <c r="U63" s="131"/>
      <c r="V63" s="131"/>
      <c r="W63" s="131"/>
    </row>
    <row r="64" spans="2:27" x14ac:dyDescent="0.2">
      <c r="B64" s="131"/>
      <c r="C64" s="101" t="s">
        <v>315</v>
      </c>
      <c r="D64" s="131"/>
      <c r="E64" s="131"/>
      <c r="F64" s="131"/>
      <c r="G64" s="131"/>
      <c r="H64" s="131"/>
      <c r="I64" s="131"/>
      <c r="J64" s="131"/>
      <c r="K64" s="131"/>
      <c r="L64" s="131"/>
      <c r="M64" s="131"/>
      <c r="N64" s="131"/>
      <c r="O64" s="131"/>
      <c r="P64" s="131"/>
      <c r="Q64" s="131"/>
      <c r="R64" s="131"/>
      <c r="S64" s="131"/>
      <c r="T64" s="131"/>
      <c r="U64" s="131"/>
      <c r="V64" s="131"/>
      <c r="W64" s="131"/>
    </row>
    <row r="65" spans="2:27" ht="5.0999999999999996" customHeight="1" x14ac:dyDescent="0.2">
      <c r="B65" s="131"/>
      <c r="C65" s="131"/>
      <c r="D65" s="131"/>
      <c r="E65" s="131"/>
      <c r="F65" s="131"/>
      <c r="G65" s="131"/>
      <c r="H65" s="131"/>
      <c r="I65" s="131"/>
      <c r="J65" s="131"/>
      <c r="K65" s="131"/>
      <c r="L65" s="131"/>
      <c r="M65" s="131"/>
      <c r="N65" s="131"/>
      <c r="O65" s="131"/>
      <c r="P65" s="131"/>
      <c r="Q65" s="131"/>
      <c r="R65" s="131"/>
      <c r="S65" s="131"/>
      <c r="T65" s="131"/>
      <c r="U65" s="131"/>
      <c r="V65" s="131"/>
      <c r="W65" s="131"/>
    </row>
    <row r="66" spans="2:27" ht="13.5" customHeight="1" x14ac:dyDescent="0.2">
      <c r="B66" s="131"/>
      <c r="C66" s="95"/>
      <c r="D66" s="131" t="s">
        <v>563</v>
      </c>
      <c r="E66" s="131"/>
      <c r="F66" s="131"/>
      <c r="G66" s="131"/>
      <c r="H66" s="131"/>
      <c r="I66" s="108"/>
      <c r="J66" s="108"/>
      <c r="K66" s="108"/>
      <c r="L66" s="108"/>
      <c r="M66" s="109"/>
      <c r="N66" s="131"/>
      <c r="O66" s="131"/>
      <c r="P66" s="131"/>
      <c r="Q66" s="131"/>
      <c r="R66" s="131"/>
      <c r="S66" s="131"/>
      <c r="T66" s="131"/>
      <c r="U66" s="131"/>
      <c r="V66" s="131"/>
      <c r="W66" s="131"/>
      <c r="AA66" s="221"/>
    </row>
    <row r="67" spans="2:27" x14ac:dyDescent="0.2">
      <c r="B67" s="131"/>
      <c r="C67" s="131"/>
      <c r="D67" s="131" t="s">
        <v>30</v>
      </c>
      <c r="E67" s="131"/>
      <c r="F67" s="131"/>
      <c r="G67" s="131"/>
      <c r="H67" s="131"/>
      <c r="I67" s="131"/>
      <c r="J67" s="131"/>
      <c r="K67" s="131"/>
      <c r="L67" s="131"/>
      <c r="M67" s="131"/>
      <c r="N67" s="131"/>
      <c r="O67" s="131"/>
      <c r="P67" s="131"/>
      <c r="Q67" s="131"/>
      <c r="R67" s="131"/>
      <c r="S67" s="131"/>
      <c r="T67" s="131"/>
      <c r="U67" s="131"/>
      <c r="V67" s="131"/>
      <c r="W67" s="131"/>
      <c r="AA67" s="221"/>
    </row>
    <row r="68" spans="2:27" ht="13.5" customHeight="1" x14ac:dyDescent="0.2">
      <c r="B68" s="131"/>
      <c r="C68" s="131"/>
      <c r="D68" s="96" t="s">
        <v>31</v>
      </c>
      <c r="E68" s="131"/>
      <c r="F68" s="131"/>
      <c r="G68" s="131"/>
      <c r="H68" s="131"/>
      <c r="I68" s="131"/>
      <c r="J68" s="131"/>
      <c r="K68" s="131"/>
      <c r="L68" s="131"/>
      <c r="M68" s="131"/>
      <c r="N68" s="131"/>
      <c r="O68" s="131"/>
      <c r="P68" s="131"/>
      <c r="Q68" s="131"/>
      <c r="R68" s="131"/>
      <c r="S68" s="131"/>
      <c r="T68" s="131"/>
      <c r="U68" s="131"/>
      <c r="V68" s="131"/>
      <c r="W68" s="131"/>
      <c r="AA68" s="221"/>
    </row>
    <row r="69" spans="2:27" x14ac:dyDescent="0.2">
      <c r="B69" s="131"/>
      <c r="C69" s="131"/>
      <c r="D69" s="131"/>
      <c r="E69" s="131"/>
      <c r="F69" s="131"/>
      <c r="G69" s="131"/>
      <c r="H69" s="131"/>
      <c r="I69" s="131"/>
      <c r="J69" s="131"/>
      <c r="K69" s="131"/>
      <c r="L69" s="131"/>
      <c r="M69" s="110"/>
      <c r="N69" s="110"/>
      <c r="O69" s="110"/>
      <c r="P69" s="110"/>
      <c r="Q69" s="110"/>
      <c r="R69" s="110"/>
      <c r="S69" s="131"/>
      <c r="T69" s="131"/>
      <c r="U69" s="131"/>
      <c r="V69" s="131"/>
      <c r="W69" s="131"/>
      <c r="AA69" s="221"/>
    </row>
    <row r="70" spans="2:27" s="115" customFormat="1" ht="31.5" customHeight="1" x14ac:dyDescent="0.2">
      <c r="B70" s="131"/>
      <c r="C70" s="111"/>
      <c r="D70" s="130"/>
      <c r="E70" s="129"/>
      <c r="F70" s="233" t="s">
        <v>562</v>
      </c>
      <c r="G70" s="233"/>
      <c r="H70" s="233"/>
      <c r="I70" s="130"/>
      <c r="J70" s="112" t="s">
        <v>32</v>
      </c>
      <c r="K70" s="112"/>
      <c r="L70" s="112" t="s">
        <v>316</v>
      </c>
      <c r="M70" s="112"/>
      <c r="N70" s="131"/>
      <c r="O70" s="112"/>
      <c r="P70" s="113" t="s">
        <v>583</v>
      </c>
      <c r="Q70" s="95"/>
      <c r="R70" s="113" t="s">
        <v>35</v>
      </c>
      <c r="S70" s="113"/>
      <c r="T70" s="114" t="s">
        <v>36</v>
      </c>
      <c r="U70" s="95"/>
      <c r="V70" s="113" t="s">
        <v>584</v>
      </c>
      <c r="W70" s="131"/>
      <c r="Y70" s="139" t="s">
        <v>38</v>
      </c>
      <c r="Z70" s="139" t="s">
        <v>39</v>
      </c>
      <c r="AA70" s="221"/>
    </row>
    <row r="71" spans="2:27" ht="5.0999999999999996" customHeight="1" thickBot="1" x14ac:dyDescent="0.25">
      <c r="B71" s="131"/>
      <c r="C71" s="131"/>
      <c r="D71" s="131"/>
      <c r="E71" s="131"/>
      <c r="F71" s="131"/>
      <c r="G71" s="131"/>
      <c r="H71" s="131"/>
      <c r="I71" s="131"/>
      <c r="J71" s="131"/>
      <c r="K71" s="131"/>
      <c r="L71" s="131"/>
      <c r="M71" s="131"/>
      <c r="N71" s="131"/>
      <c r="O71" s="131"/>
      <c r="P71" s="131"/>
      <c r="Q71" s="131"/>
      <c r="R71" s="131"/>
      <c r="S71" s="131"/>
      <c r="T71" s="131"/>
      <c r="U71" s="131"/>
      <c r="V71" s="131"/>
      <c r="W71" s="131"/>
      <c r="AA71" s="116"/>
    </row>
    <row r="72" spans="2:27" ht="18" customHeight="1" thickBot="1" x14ac:dyDescent="0.25">
      <c r="B72" s="131"/>
      <c r="C72" s="91" t="s">
        <v>4</v>
      </c>
      <c r="D72" s="95" t="s">
        <v>506</v>
      </c>
      <c r="E72" s="131"/>
      <c r="F72" s="230"/>
      <c r="G72" s="231"/>
      <c r="H72" s="232"/>
      <c r="I72" s="131"/>
      <c r="J72" s="117"/>
      <c r="K72" s="118"/>
      <c r="L72" s="117"/>
      <c r="M72" s="118"/>
      <c r="N72" s="131"/>
      <c r="O72" s="118"/>
      <c r="P72" s="119">
        <f>中間シート!D373</f>
        <v>0</v>
      </c>
      <c r="Q72" s="131"/>
      <c r="R72" s="119">
        <f>中間シート!G373</f>
        <v>0</v>
      </c>
      <c r="S72" s="131"/>
      <c r="T72" s="120" t="s">
        <v>40</v>
      </c>
      <c r="U72" s="131"/>
      <c r="V72" s="119">
        <f>中間シート!H373</f>
        <v>0</v>
      </c>
      <c r="W72" s="131"/>
      <c r="Y72" s="136">
        <v>1</v>
      </c>
      <c r="Z72" s="136">
        <f>IF(F72="含まれている",1,IF(F72="含まれていない",2,0))</f>
        <v>0</v>
      </c>
      <c r="AA72" s="121" t="str">
        <f ca="1">中間シート!X281</f>
        <v>先に研修情報を入力してください。</v>
      </c>
    </row>
    <row r="73" spans="2:27" ht="5.0999999999999996" customHeight="1" thickBot="1" x14ac:dyDescent="0.25">
      <c r="B73" s="131"/>
      <c r="C73" s="131"/>
      <c r="D73" s="95"/>
      <c r="E73" s="131"/>
      <c r="F73" s="131"/>
      <c r="G73" s="131"/>
      <c r="H73" s="131"/>
      <c r="I73" s="131"/>
      <c r="J73" s="118"/>
      <c r="K73" s="118"/>
      <c r="L73" s="118"/>
      <c r="M73" s="118"/>
      <c r="N73" s="131"/>
      <c r="O73" s="118"/>
      <c r="P73" s="131"/>
      <c r="Q73" s="131"/>
      <c r="R73" s="131"/>
      <c r="S73" s="131"/>
      <c r="T73" s="131"/>
      <c r="U73" s="131"/>
      <c r="V73" s="131"/>
      <c r="W73" s="131"/>
      <c r="AA73" s="122"/>
    </row>
    <row r="74" spans="2:27" ht="18" customHeight="1" thickBot="1" x14ac:dyDescent="0.25">
      <c r="B74" s="131"/>
      <c r="C74" s="131"/>
      <c r="D74" s="95" t="s">
        <v>507</v>
      </c>
      <c r="E74" s="131"/>
      <c r="F74" s="230"/>
      <c r="G74" s="231"/>
      <c r="H74" s="232"/>
      <c r="I74" s="131"/>
      <c r="J74" s="117"/>
      <c r="K74" s="118"/>
      <c r="L74" s="117"/>
      <c r="M74" s="118"/>
      <c r="N74" s="131"/>
      <c r="O74" s="118"/>
      <c r="P74" s="131"/>
      <c r="Q74" s="131"/>
      <c r="R74" s="131"/>
      <c r="S74" s="131"/>
      <c r="T74" s="131"/>
      <c r="U74" s="131"/>
      <c r="V74" s="131" t="s">
        <v>553</v>
      </c>
      <c r="W74" s="131"/>
      <c r="Y74" s="136">
        <f>中間シート!E282</f>
        <v>0</v>
      </c>
      <c r="Z74" s="136">
        <f>IF(F74="含まれている",1,IF(F74="含まれていない",2,0))</f>
        <v>0</v>
      </c>
      <c r="AA74" s="122" t="str">
        <f ca="1">中間シート!X282</f>
        <v/>
      </c>
    </row>
    <row r="75" spans="2:27" ht="5.0999999999999996" customHeight="1" thickBot="1" x14ac:dyDescent="0.25">
      <c r="B75" s="131"/>
      <c r="C75" s="131"/>
      <c r="D75" s="95"/>
      <c r="E75" s="131"/>
      <c r="F75" s="131"/>
      <c r="G75" s="131"/>
      <c r="H75" s="131"/>
      <c r="I75" s="131"/>
      <c r="J75" s="118"/>
      <c r="K75" s="118"/>
      <c r="L75" s="118"/>
      <c r="M75" s="118"/>
      <c r="N75" s="131"/>
      <c r="O75" s="118"/>
      <c r="P75" s="131"/>
      <c r="Q75" s="131"/>
      <c r="R75" s="131"/>
      <c r="S75" s="131"/>
      <c r="T75" s="131"/>
      <c r="U75" s="131"/>
      <c r="V75" s="131"/>
      <c r="W75" s="131"/>
      <c r="AA75" s="122"/>
    </row>
    <row r="76" spans="2:27" ht="18" customHeight="1" thickBot="1" x14ac:dyDescent="0.25">
      <c r="B76" s="131"/>
      <c r="C76" s="131"/>
      <c r="D76" s="105" t="s">
        <v>508</v>
      </c>
      <c r="E76" s="131"/>
      <c r="F76" s="230"/>
      <c r="G76" s="231"/>
      <c r="H76" s="232"/>
      <c r="I76" s="131"/>
      <c r="J76" s="117"/>
      <c r="K76" s="118"/>
      <c r="L76" s="117"/>
      <c r="M76" s="118"/>
      <c r="N76" s="110"/>
      <c r="O76" s="118"/>
      <c r="P76" s="131"/>
      <c r="Q76" s="131"/>
      <c r="R76" s="131"/>
      <c r="S76" s="131"/>
      <c r="T76" s="131"/>
      <c r="U76" s="131"/>
      <c r="V76" s="131"/>
      <c r="W76" s="131"/>
      <c r="Y76" s="136">
        <f>中間シート!E283</f>
        <v>0</v>
      </c>
      <c r="Z76" s="136">
        <f>IF(F76="含まれている",1,IF(F76="含まれていない",2,0))</f>
        <v>0</v>
      </c>
      <c r="AA76" s="122" t="str">
        <f ca="1">中間シート!X283</f>
        <v/>
      </c>
    </row>
    <row r="77" spans="2:27" ht="5.0999999999999996" customHeight="1" x14ac:dyDescent="0.2">
      <c r="B77" s="131"/>
      <c r="C77" s="131"/>
      <c r="D77" s="131"/>
      <c r="E77" s="131"/>
      <c r="F77" s="118"/>
      <c r="G77" s="118"/>
      <c r="H77" s="118"/>
      <c r="I77" s="118"/>
      <c r="J77" s="118"/>
      <c r="K77" s="118"/>
      <c r="L77" s="118"/>
      <c r="M77" s="131"/>
      <c r="N77" s="131"/>
      <c r="O77" s="131"/>
      <c r="P77" s="118"/>
      <c r="Q77" s="131"/>
      <c r="R77" s="131"/>
      <c r="S77" s="131"/>
      <c r="T77" s="131"/>
      <c r="U77" s="131"/>
      <c r="V77" s="131"/>
      <c r="W77" s="131"/>
      <c r="AA77" s="123"/>
    </row>
    <row r="78" spans="2:27" x14ac:dyDescent="0.2">
      <c r="B78" s="131"/>
      <c r="C78" s="131"/>
      <c r="D78" s="131"/>
      <c r="E78" s="131"/>
      <c r="F78" s="131"/>
      <c r="G78" s="131"/>
      <c r="H78" s="131"/>
      <c r="I78" s="131"/>
      <c r="J78" s="131"/>
      <c r="K78" s="131"/>
      <c r="L78" s="131"/>
      <c r="M78" s="131"/>
      <c r="N78" s="131"/>
      <c r="O78" s="131"/>
      <c r="P78" s="131"/>
      <c r="Q78" s="131"/>
      <c r="R78" s="131"/>
      <c r="S78" s="131"/>
      <c r="T78" s="131"/>
      <c r="U78" s="131"/>
      <c r="V78" s="131"/>
      <c r="W78" s="131"/>
      <c r="AA78" s="123"/>
    </row>
    <row r="79" spans="2:27" x14ac:dyDescent="0.2">
      <c r="B79" s="131"/>
      <c r="C79" s="131"/>
      <c r="D79" s="131"/>
      <c r="E79" s="131"/>
      <c r="F79" s="131"/>
      <c r="G79" s="131"/>
      <c r="H79" s="131"/>
      <c r="I79" s="131"/>
      <c r="J79" s="131"/>
      <c r="K79" s="131"/>
      <c r="L79" s="131"/>
      <c r="M79" s="131"/>
      <c r="N79" s="131"/>
      <c r="O79" s="131"/>
      <c r="P79" s="131"/>
      <c r="Q79" s="131"/>
      <c r="R79" s="131"/>
      <c r="S79" s="131"/>
      <c r="T79" s="131"/>
      <c r="U79" s="131"/>
      <c r="V79" s="131"/>
      <c r="W79" s="131"/>
    </row>
    <row r="80" spans="2:27" x14ac:dyDescent="0.2">
      <c r="B80" s="131"/>
      <c r="C80" s="131"/>
      <c r="D80" s="131"/>
      <c r="E80" s="131"/>
      <c r="F80" s="131"/>
      <c r="G80" s="131"/>
      <c r="H80" s="131"/>
      <c r="I80" s="131"/>
      <c r="J80" s="131"/>
      <c r="K80" s="131"/>
      <c r="L80" s="131"/>
      <c r="M80" s="131"/>
      <c r="N80" s="131"/>
      <c r="O80" s="131"/>
      <c r="P80" s="131"/>
      <c r="Q80" s="131"/>
      <c r="R80" s="131"/>
      <c r="S80" s="131"/>
      <c r="T80" s="131"/>
      <c r="U80" s="131"/>
      <c r="V80" s="131"/>
      <c r="W80" s="131"/>
    </row>
    <row r="81" spans="2:23" x14ac:dyDescent="0.2">
      <c r="B81" s="131"/>
      <c r="C81" s="131"/>
      <c r="D81" s="131"/>
      <c r="E81" s="131"/>
      <c r="F81" s="131"/>
      <c r="G81" s="131"/>
      <c r="H81" s="131"/>
      <c r="I81" s="131"/>
      <c r="J81" s="131"/>
      <c r="K81" s="131"/>
      <c r="L81" s="131"/>
      <c r="M81" s="131"/>
      <c r="N81" s="131"/>
      <c r="O81" s="131"/>
      <c r="P81" s="131"/>
      <c r="Q81" s="131"/>
      <c r="R81" s="131"/>
      <c r="S81" s="131"/>
      <c r="T81" s="131"/>
      <c r="U81" s="131"/>
      <c r="V81" s="131"/>
      <c r="W81" s="131"/>
    </row>
    <row r="82" spans="2:23" ht="5.0999999999999996" customHeight="1" x14ac:dyDescent="0.2">
      <c r="B82" s="280" t="s">
        <v>41</v>
      </c>
      <c r="C82" s="280"/>
      <c r="D82" s="280"/>
      <c r="E82" s="280"/>
      <c r="F82" s="280"/>
      <c r="G82" s="280"/>
      <c r="H82" s="280"/>
      <c r="I82" s="280"/>
      <c r="J82" s="280"/>
      <c r="K82" s="280"/>
      <c r="L82" s="280"/>
      <c r="M82" s="280"/>
      <c r="N82" s="280"/>
      <c r="O82" s="280"/>
      <c r="P82" s="280"/>
      <c r="Q82" s="280"/>
      <c r="R82" s="280"/>
      <c r="S82" s="280"/>
      <c r="T82" s="280"/>
      <c r="U82" s="280"/>
      <c r="V82" s="280"/>
      <c r="W82" s="280"/>
    </row>
    <row r="83" spans="2:23" x14ac:dyDescent="0.2">
      <c r="B83" s="280"/>
      <c r="C83" s="280"/>
      <c r="D83" s="280"/>
      <c r="E83" s="280"/>
      <c r="F83" s="280"/>
      <c r="G83" s="280"/>
      <c r="H83" s="280"/>
      <c r="I83" s="280"/>
      <c r="J83" s="280"/>
      <c r="K83" s="280"/>
      <c r="L83" s="280"/>
      <c r="M83" s="280"/>
      <c r="N83" s="280"/>
      <c r="O83" s="280"/>
      <c r="P83" s="280"/>
      <c r="Q83" s="280"/>
      <c r="R83" s="280"/>
      <c r="S83" s="280"/>
      <c r="T83" s="280"/>
      <c r="U83" s="280"/>
      <c r="V83" s="280"/>
      <c r="W83" s="280"/>
    </row>
    <row r="84" spans="2:23" ht="5.0999999999999996" customHeight="1" x14ac:dyDescent="0.2">
      <c r="B84" s="280"/>
      <c r="C84" s="280"/>
      <c r="D84" s="280"/>
      <c r="E84" s="280"/>
      <c r="F84" s="280"/>
      <c r="G84" s="280"/>
      <c r="H84" s="280"/>
      <c r="I84" s="280"/>
      <c r="J84" s="280"/>
      <c r="K84" s="280"/>
      <c r="L84" s="280"/>
      <c r="M84" s="280"/>
      <c r="N84" s="280"/>
      <c r="O84" s="280"/>
      <c r="P84" s="280"/>
      <c r="Q84" s="280"/>
      <c r="R84" s="280"/>
      <c r="S84" s="280"/>
      <c r="T84" s="280"/>
      <c r="U84" s="280"/>
      <c r="V84" s="280"/>
      <c r="W84" s="280"/>
    </row>
    <row r="85" spans="2:23" x14ac:dyDescent="0.2">
      <c r="B85" s="131"/>
      <c r="C85" s="131"/>
      <c r="D85" s="131"/>
      <c r="E85" s="131"/>
      <c r="F85" s="131"/>
      <c r="G85" s="131"/>
      <c r="H85" s="131"/>
      <c r="I85" s="131"/>
      <c r="J85" s="131"/>
      <c r="K85" s="131"/>
      <c r="L85" s="131"/>
      <c r="M85" s="131"/>
      <c r="N85" s="131"/>
      <c r="O85" s="131"/>
      <c r="P85" s="131"/>
      <c r="Q85" s="131"/>
      <c r="R85" s="131"/>
      <c r="S85" s="131"/>
      <c r="T85" s="131"/>
      <c r="U85" s="131"/>
      <c r="V85" s="131"/>
      <c r="W85" s="131"/>
    </row>
    <row r="88" spans="2:23" ht="5.0999999999999996" customHeight="1" x14ac:dyDescent="0.2">
      <c r="B88" s="234" t="s">
        <v>43</v>
      </c>
      <c r="C88" s="235"/>
      <c r="D88" s="235"/>
      <c r="E88" s="235"/>
      <c r="F88" s="235"/>
      <c r="G88" s="235"/>
      <c r="H88" s="235"/>
      <c r="I88" s="235"/>
      <c r="J88" s="235"/>
      <c r="K88" s="235"/>
      <c r="L88" s="235"/>
      <c r="M88" s="235"/>
      <c r="N88" s="235"/>
      <c r="O88" s="235"/>
      <c r="P88" s="235"/>
      <c r="Q88" s="235"/>
      <c r="R88" s="235"/>
      <c r="S88" s="235"/>
      <c r="T88" s="235"/>
      <c r="U88" s="235"/>
      <c r="V88" s="235"/>
      <c r="W88" s="235"/>
    </row>
    <row r="89" spans="2:23" ht="45" customHeight="1" x14ac:dyDescent="0.2">
      <c r="B89" s="235"/>
      <c r="C89" s="235"/>
      <c r="D89" s="235"/>
      <c r="E89" s="235"/>
      <c r="F89" s="235"/>
      <c r="G89" s="235"/>
      <c r="H89" s="235"/>
      <c r="I89" s="235"/>
      <c r="J89" s="235"/>
      <c r="K89" s="235"/>
      <c r="L89" s="235"/>
      <c r="M89" s="235"/>
      <c r="N89" s="235"/>
      <c r="O89" s="235"/>
      <c r="P89" s="235"/>
      <c r="Q89" s="235"/>
      <c r="R89" s="235"/>
      <c r="S89" s="235"/>
      <c r="T89" s="235"/>
      <c r="U89" s="235"/>
      <c r="V89" s="235"/>
      <c r="W89" s="235"/>
    </row>
    <row r="90" spans="2:23" ht="5.0999999999999996" customHeight="1" x14ac:dyDescent="0.2">
      <c r="B90" s="235"/>
      <c r="C90" s="235"/>
      <c r="D90" s="235"/>
      <c r="E90" s="235"/>
      <c r="F90" s="235"/>
      <c r="G90" s="235"/>
      <c r="H90" s="235"/>
      <c r="I90" s="235"/>
      <c r="J90" s="235"/>
      <c r="K90" s="235"/>
      <c r="L90" s="235"/>
      <c r="M90" s="235"/>
      <c r="N90" s="235"/>
      <c r="O90" s="235"/>
      <c r="P90" s="235"/>
      <c r="Q90" s="235"/>
      <c r="R90" s="235"/>
      <c r="S90" s="235"/>
      <c r="T90" s="235"/>
      <c r="U90" s="235"/>
      <c r="V90" s="235"/>
      <c r="W90" s="235"/>
    </row>
    <row r="92" spans="2:23" hidden="1" x14ac:dyDescent="0.2">
      <c r="D92" s="124" t="str">
        <f>"入力シートで記入した内容は、"&amp;IF(中間シート!$AK$184=1,"青色の【様式第1（通常）",IF(中間シート!$AK$184=2,"黄色の【様式第1（10事業場30台まで）","緑色の【様式第1（50事業場150台）"))&amp;"】シートに反映されています。"</f>
        <v>入力シートで記入した内容は、青色の【様式第1（通常）】シートに反映されています。</v>
      </c>
    </row>
    <row r="93" spans="2:23" ht="5.0999999999999996" customHeight="1" x14ac:dyDescent="0.2"/>
    <row r="94" spans="2:23" hidden="1" x14ac:dyDescent="0.2">
      <c r="D94" s="125" t="str">
        <f>IF(中間シート!AK184&lt;&gt;1,"※青色の【様式第1（通常）】シートは３事業場目、３台目以降が表示されません。印刷等はしないようご注意ください。","")</f>
        <v/>
      </c>
    </row>
    <row r="95" spans="2:23" ht="5.0999999999999996" customHeight="1" x14ac:dyDescent="0.2">
      <c r="D95" s="125"/>
    </row>
    <row r="96" spans="2:23" x14ac:dyDescent="0.2">
      <c r="D96" s="125"/>
    </row>
    <row r="97" spans="2:23" hidden="1" x14ac:dyDescent="0.2"/>
    <row r="99" spans="2:23" ht="5.0999999999999996" customHeight="1" x14ac:dyDescent="0.2">
      <c r="B99" s="228" t="s">
        <v>575</v>
      </c>
      <c r="C99" s="229"/>
      <c r="D99" s="229"/>
      <c r="E99" s="229"/>
      <c r="F99" s="229"/>
      <c r="G99" s="229"/>
      <c r="H99" s="229"/>
      <c r="I99" s="229"/>
      <c r="J99" s="229"/>
      <c r="K99" s="229"/>
      <c r="L99" s="229"/>
      <c r="M99" s="229"/>
      <c r="N99" s="229"/>
      <c r="O99" s="229"/>
      <c r="P99" s="229"/>
      <c r="Q99" s="229"/>
      <c r="R99" s="229"/>
      <c r="S99" s="229"/>
      <c r="T99" s="229"/>
      <c r="U99" s="229"/>
      <c r="V99" s="229"/>
      <c r="W99" s="229"/>
    </row>
    <row r="100" spans="2:23" ht="50.1" customHeight="1" x14ac:dyDescent="0.2">
      <c r="B100" s="229"/>
      <c r="C100" s="229"/>
      <c r="D100" s="229"/>
      <c r="E100" s="229"/>
      <c r="F100" s="229"/>
      <c r="G100" s="229"/>
      <c r="H100" s="229"/>
      <c r="I100" s="229"/>
      <c r="J100" s="229"/>
      <c r="K100" s="229"/>
      <c r="L100" s="229"/>
      <c r="M100" s="229"/>
      <c r="N100" s="229"/>
      <c r="O100" s="229"/>
      <c r="P100" s="229"/>
      <c r="Q100" s="229"/>
      <c r="R100" s="229"/>
      <c r="S100" s="229"/>
      <c r="T100" s="229"/>
      <c r="U100" s="229"/>
      <c r="V100" s="229"/>
      <c r="W100" s="229"/>
    </row>
    <row r="101" spans="2:23" ht="5.0999999999999996" customHeight="1" x14ac:dyDescent="0.2">
      <c r="B101" s="229"/>
      <c r="C101" s="229"/>
      <c r="D101" s="229"/>
      <c r="E101" s="229"/>
      <c r="F101" s="229"/>
      <c r="G101" s="229"/>
      <c r="H101" s="229"/>
      <c r="I101" s="229"/>
      <c r="J101" s="229"/>
      <c r="K101" s="229"/>
      <c r="L101" s="229"/>
      <c r="M101" s="229"/>
      <c r="N101" s="229"/>
      <c r="O101" s="229"/>
      <c r="P101" s="229"/>
      <c r="Q101" s="229"/>
      <c r="R101" s="229"/>
      <c r="S101" s="229"/>
      <c r="T101" s="229"/>
      <c r="U101" s="229"/>
      <c r="V101" s="229"/>
      <c r="W101" s="229"/>
    </row>
  </sheetData>
  <sheetProtection algorithmName="SHA-512" hashValue="MJ2rOKGKLFL0xSURyQBH80KlppszCRHkISHzjg2aQE704ExUIB2e02V/JKxLsbG06kkJV2dNVuZv1KZ0gaurRA==" saltValue="2PsXoUuDzkmsWRVUQfxtYg==" spinCount="100000" sheet="1" selectLockedCells="1" autoFilter="0"/>
  <mergeCells count="20">
    <mergeCell ref="B99:W101"/>
    <mergeCell ref="F76:H76"/>
    <mergeCell ref="F70:H70"/>
    <mergeCell ref="B82:W84"/>
    <mergeCell ref="B88:W90"/>
    <mergeCell ref="F72:H72"/>
    <mergeCell ref="F74:H74"/>
    <mergeCell ref="J60:T60"/>
    <mergeCell ref="J62:T62"/>
    <mergeCell ref="AA66:AA70"/>
    <mergeCell ref="F31:J31"/>
    <mergeCell ref="F37:J37"/>
    <mergeCell ref="F39:J39"/>
    <mergeCell ref="D54:V54"/>
    <mergeCell ref="F41:J41"/>
    <mergeCell ref="B2:W2"/>
    <mergeCell ref="C13:D13"/>
    <mergeCell ref="C15:D15"/>
    <mergeCell ref="D52:V52"/>
    <mergeCell ref="J58:T58"/>
  </mergeCells>
  <phoneticPr fontId="6"/>
  <conditionalFormatting sqref="J58">
    <cfRule type="expression" dxfId="338" priority="32">
      <formula>$Y$58&lt;&gt;1</formula>
    </cfRule>
  </conditionalFormatting>
  <conditionalFormatting sqref="J60">
    <cfRule type="expression" dxfId="337" priority="4">
      <formula>$Y$58&lt;&gt;1</formula>
    </cfRule>
  </conditionalFormatting>
  <conditionalFormatting sqref="J62">
    <cfRule type="expression" dxfId="336" priority="3">
      <formula>$Y$58&lt;&gt;1</formula>
    </cfRule>
  </conditionalFormatting>
  <conditionalFormatting sqref="J72 J74 J76">
    <cfRule type="expression" dxfId="335" priority="437">
      <formula>$Z72=2</formula>
    </cfRule>
  </conditionalFormatting>
  <conditionalFormatting sqref="L72 F72 J72 F74 J74 L74 F76 J76 L76">
    <cfRule type="expression" dxfId="334" priority="436">
      <formula>$Y72=0</formula>
    </cfRule>
  </conditionalFormatting>
  <conditionalFormatting sqref="L72 J72 J74 L74 J76 L76">
    <cfRule type="expression" dxfId="333" priority="30">
      <formula>$Z72=0</formula>
    </cfRule>
  </conditionalFormatting>
  <conditionalFormatting sqref="L72 R72 V72">
    <cfRule type="expression" dxfId="332" priority="26">
      <formula>AND($D72="研修①",$L72&lt;&gt;"",$R72&lt;300)</formula>
    </cfRule>
  </conditionalFormatting>
  <conditionalFormatting sqref="L72">
    <cfRule type="expression" dxfId="331" priority="16">
      <formula>$Z$58="④"</formula>
    </cfRule>
  </conditionalFormatting>
  <conditionalFormatting sqref="L74">
    <cfRule type="expression" dxfId="330" priority="15">
      <formula>$Z$60="④"</formula>
    </cfRule>
  </conditionalFormatting>
  <conditionalFormatting sqref="L76">
    <cfRule type="expression" dxfId="329" priority="14">
      <formula>$Z$62="④"</formula>
    </cfRule>
  </conditionalFormatting>
  <conditionalFormatting sqref="P72 R72">
    <cfRule type="expression" dxfId="328" priority="29">
      <formula>$P$72&lt;$R$72</formula>
    </cfRule>
  </conditionalFormatting>
  <conditionalFormatting sqref="R72 V72">
    <cfRule type="expression" dxfId="327" priority="27">
      <formula>AND($L72&lt;&gt;"",$L$72&lt;1000,$R72&lt;300)</formula>
    </cfRule>
  </conditionalFormatting>
  <conditionalFormatting sqref="AA1:AA55 AA57 AA59 AA61 AA63:AA67 AA73 AA75 AA77:AA1048576">
    <cfRule type="containsText" dxfId="326" priority="77" operator="containsText" text="OK">
      <formula>NOT(ISERROR(SEARCH("OK",AA1)))</formula>
    </cfRule>
  </conditionalFormatting>
  <conditionalFormatting sqref="AA1:AA55 AA57:AA67 AA72:AA1048576">
    <cfRule type="containsText" dxfId="325" priority="1" operator="containsText" text="OK">
      <formula>NOT(ISERROR(SEARCH("OK",AA1)))</formula>
    </cfRule>
    <cfRule type="notContainsText" dxfId="324" priority="2" operator="notContains" text="OK">
      <formula>ISERROR(SEARCH("OK",AA1))</formula>
    </cfRule>
  </conditionalFormatting>
  <dataValidations xWindow="736" yWindow="783" count="4">
    <dataValidation imeMode="disabled" allowBlank="1" showInputMessage="1" showErrorMessage="1" sqref="U72:V72 N77 P72 P77 L77 M72:M77 J75 L73 L75 J73 R72:S72 F77:J77 K72:K77 S72:S76 O72:O77 Q73:Q76" xr:uid="{00000000-0002-0000-0000-000000000000}"/>
    <dataValidation type="custom" imeMode="disabled" operator="equal" allowBlank="1" showInputMessage="1" showErrorMessage="1" errorTitle="郵便番号" error="3桁の数字を入力してください。" sqref="F33" xr:uid="{00000000-0002-0000-0000-000001000000}">
      <formula1>AND(0&lt;VALUE(F33),LEN(F33)=3)</formula1>
    </dataValidation>
    <dataValidation imeMode="hiragana" allowBlank="1" showInputMessage="1" showErrorMessage="1" sqref="F31:J31 F37:J37 F39:J39 F41:J41" xr:uid="{00000000-0002-0000-0000-000002000000}"/>
    <dataValidation type="custom" imeMode="disabled" operator="equal" allowBlank="1" showInputMessage="1" showErrorMessage="1" errorTitle="郵便番号" error="4桁の数字を入力してください。" sqref="H33" xr:uid="{00000000-0002-0000-0000-000004000000}">
      <formula1>AND(0&lt;=VALUE(H33),LEN(H33)=4)</formula1>
    </dataValidation>
  </dataValidations>
  <hyperlinks>
    <hyperlink ref="B82:W84" location="'入力シート（2事業場以降）'!D7" display="事業場2以降はこちらで入力してください。" xr:uid="{00000000-0004-0000-0000-000000000000}"/>
  </hyperlink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xWindow="736" yWindow="783" count="4">
        <x14:dataValidation type="list" imeMode="disabled" allowBlank="1" showInputMessage="1" showErrorMessage="1" xr:uid="{00000000-0002-0000-0000-000006000000}">
          <x14:formula1>
            <xm:f>プルダウン!$C$2:$C$31</xm:f>
          </x14:formula1>
          <xm:sqref>F22</xm:sqref>
        </x14:dataValidation>
        <x14:dataValidation type="list" allowBlank="1" showInputMessage="1" showErrorMessage="1" xr:uid="{00000000-0002-0000-0000-000007000000}">
          <x14:formula1>
            <xm:f>プルダウン!$G$2:$G$3</xm:f>
          </x14:formula1>
          <xm:sqref>F72 F74 F76</xm:sqref>
        </x14:dataValidation>
        <x14:dataValidation type="list" allowBlank="1" showInputMessage="1" showErrorMessage="1" xr:uid="{00000000-0002-0000-0000-000008000000}">
          <x14:formula1>
            <xm:f>プルダウン!$A$2:$A$48</xm:f>
          </x14:formula1>
          <xm:sqref>F35</xm:sqref>
        </x14:dataValidation>
        <x14:dataValidation type="list" imeMode="disabled" allowBlank="1" showInputMessage="1" showErrorMessage="1" xr:uid="{ABB1509A-0BE9-4062-8BE0-6C67908B643C}">
          <x14:formula1>
            <xm:f>補助対象研修一覧!$A$2:$A$1048576</xm:f>
          </x14:formula1>
          <xm:sqref>F58 F62 F60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outlinePr applyStyles="1"/>
  </sheetPr>
  <dimension ref="B1:BB534"/>
  <sheetViews>
    <sheetView showGridLines="0" zoomScale="85" zoomScaleNormal="85" workbookViewId="0">
      <pane ySplit="13" topLeftCell="A14" activePane="bottomLeft" state="frozen"/>
      <selection pane="bottomLeft" activeCell="L332" sqref="L332"/>
    </sheetView>
  </sheetViews>
  <sheetFormatPr defaultColWidth="9" defaultRowHeight="15" x14ac:dyDescent="0.2"/>
  <cols>
    <col min="1" max="1" width="0.88671875" style="145" customWidth="1"/>
    <col min="2" max="2" width="3.33203125" style="145" hidden="1" customWidth="1"/>
    <col min="3" max="3" width="3.6640625" style="145" customWidth="1"/>
    <col min="4" max="4" width="12.6640625" style="145" customWidth="1"/>
    <col min="5" max="5" width="7.21875" style="146" customWidth="1"/>
    <col min="6" max="6" width="12.6640625" style="145" customWidth="1"/>
    <col min="7" max="7" width="2.6640625" style="145" customWidth="1"/>
    <col min="8" max="8" width="12.6640625" style="145" customWidth="1"/>
    <col min="9" max="9" width="2.6640625" style="147" customWidth="1"/>
    <col min="10" max="10" width="12.6640625" style="145" customWidth="1"/>
    <col min="11" max="11" width="2.6640625" style="145" customWidth="1"/>
    <col min="12" max="12" width="12.6640625" style="145" customWidth="1"/>
    <col min="13" max="13" width="2.6640625" style="145" customWidth="1"/>
    <col min="14" max="14" width="12.6640625" style="145" customWidth="1"/>
    <col min="15" max="15" width="2.6640625" style="145" customWidth="1"/>
    <col min="16" max="16" width="12.6640625" style="145" customWidth="1"/>
    <col min="17" max="17" width="2.6640625" style="145" customWidth="1"/>
    <col min="18" max="18" width="12.6640625" style="145" customWidth="1"/>
    <col min="19" max="19" width="2.6640625" style="145" customWidth="1"/>
    <col min="20" max="20" width="12.6640625" style="145" customWidth="1"/>
    <col min="21" max="21" width="2.6640625" style="145" customWidth="1"/>
    <col min="22" max="22" width="12.6640625" style="145" customWidth="1"/>
    <col min="23" max="23" width="2.6640625" style="145" customWidth="1"/>
    <col min="24" max="24" width="6.6640625" style="145" customWidth="1"/>
    <col min="25" max="25" width="2.6640625" style="145" customWidth="1"/>
    <col min="26" max="26" width="6.6640625" style="145" customWidth="1"/>
    <col min="27" max="27" width="2.6640625" style="145" customWidth="1"/>
    <col min="28" max="28" width="12.6640625" style="145" customWidth="1"/>
    <col min="29" max="29" width="2.6640625" style="145" customWidth="1"/>
    <col min="30" max="30" width="3.44140625" style="145" customWidth="1"/>
    <col min="31" max="31" width="2.6640625" style="145" hidden="1" customWidth="1"/>
    <col min="32" max="32" width="12.6640625" style="145" hidden="1" customWidth="1"/>
    <col min="33" max="33" width="2.6640625" style="145" hidden="1" customWidth="1"/>
    <col min="34" max="34" width="66.77734375" style="145" customWidth="1"/>
    <col min="35" max="39" width="12" style="145" hidden="1" customWidth="1"/>
    <col min="40" max="40" width="12.6640625" style="145" hidden="1" customWidth="1"/>
    <col min="41" max="41" width="2.6640625" style="145" hidden="1" customWidth="1"/>
    <col min="42" max="42" width="2.88671875" style="145" hidden="1" customWidth="1"/>
    <col min="43" max="45" width="9" style="145" hidden="1" customWidth="1"/>
    <col min="46" max="46" width="66.77734375" style="84" customWidth="1"/>
    <col min="47" max="54" width="9" style="145" hidden="1" customWidth="1"/>
    <col min="55" max="16384" width="9" style="145"/>
  </cols>
  <sheetData>
    <row r="1" spans="2:46" s="78" customFormat="1" ht="24.75" customHeight="1" x14ac:dyDescent="0.2">
      <c r="B1" s="78">
        <v>1</v>
      </c>
      <c r="C1" s="79" t="s">
        <v>571</v>
      </c>
      <c r="X1" s="135" t="s">
        <v>572</v>
      </c>
      <c r="AA1" s="81"/>
    </row>
    <row r="2" spans="2:46" s="141" customFormat="1" ht="30" customHeight="1" x14ac:dyDescent="0.2">
      <c r="C2" s="1" t="s">
        <v>581</v>
      </c>
      <c r="D2" s="1"/>
      <c r="E2" s="1"/>
      <c r="F2" s="1"/>
      <c r="G2" s="1"/>
      <c r="H2" s="1"/>
      <c r="I2" s="1"/>
      <c r="J2" s="1"/>
      <c r="K2" s="1"/>
      <c r="L2" s="1"/>
      <c r="M2" s="1"/>
      <c r="N2" s="1"/>
      <c r="O2" s="1"/>
      <c r="P2" s="1"/>
      <c r="Q2" s="1"/>
      <c r="R2" s="1"/>
      <c r="S2" s="1"/>
      <c r="T2" s="1"/>
      <c r="U2" s="1"/>
      <c r="V2" s="1"/>
      <c r="W2" s="1"/>
      <c r="X2" s="1"/>
      <c r="Y2" s="142"/>
      <c r="Z2" s="142"/>
      <c r="AA2" s="142"/>
      <c r="AB2" s="142"/>
      <c r="AC2" s="142"/>
      <c r="AD2" s="142"/>
      <c r="AE2" s="143"/>
      <c r="AF2" s="143"/>
      <c r="AG2" s="143"/>
      <c r="AH2" s="142"/>
      <c r="AI2" s="143"/>
      <c r="AJ2" s="143"/>
      <c r="AK2" s="143"/>
      <c r="AL2" s="143"/>
      <c r="AM2" s="143"/>
      <c r="AN2" s="143"/>
      <c r="AO2" s="143"/>
      <c r="AQ2" s="144" t="s">
        <v>44</v>
      </c>
      <c r="AR2" s="144"/>
      <c r="AS2" s="144"/>
      <c r="AT2" s="78"/>
    </row>
    <row r="3" spans="2:46" x14ac:dyDescent="0.2">
      <c r="X3" s="80" t="str">
        <f>入力シート!W3</f>
        <v>Ver.1.00</v>
      </c>
      <c r="AQ3" s="148"/>
      <c r="AR3" s="148"/>
      <c r="AS3" s="148"/>
    </row>
    <row r="4" spans="2:46" x14ac:dyDescent="0.2">
      <c r="D4" s="149" t="s">
        <v>519</v>
      </c>
      <c r="AQ4" s="148"/>
      <c r="AR4" s="148"/>
      <c r="AS4" s="148"/>
    </row>
    <row r="5" spans="2:46" x14ac:dyDescent="0.2">
      <c r="AQ5" s="148"/>
      <c r="AR5" s="148"/>
      <c r="AS5" s="148"/>
    </row>
    <row r="6" spans="2:46" ht="5.0999999999999996" customHeight="1" x14ac:dyDescent="0.2">
      <c r="AQ6" s="148"/>
      <c r="AR6" s="148"/>
      <c r="AS6" s="148"/>
    </row>
    <row r="7" spans="2:46" x14ac:dyDescent="0.2">
      <c r="D7" s="281" t="s">
        <v>283</v>
      </c>
      <c r="E7" s="281"/>
      <c r="F7" s="281"/>
      <c r="G7" s="281"/>
      <c r="H7" s="281"/>
      <c r="I7" s="281"/>
      <c r="J7" s="281"/>
      <c r="K7" s="281"/>
      <c r="L7" s="281"/>
      <c r="AQ7" s="148"/>
      <c r="AR7" s="148"/>
      <c r="AS7" s="148"/>
    </row>
    <row r="8" spans="2:46" ht="5.0999999999999996" customHeight="1" x14ac:dyDescent="0.2">
      <c r="AQ8" s="148"/>
      <c r="AR8" s="148"/>
      <c r="AS8" s="148"/>
    </row>
    <row r="9" spans="2:46" x14ac:dyDescent="0.2">
      <c r="D9" s="281" t="s">
        <v>505</v>
      </c>
      <c r="E9" s="281"/>
      <c r="F9" s="281"/>
      <c r="G9" s="281"/>
      <c r="H9" s="281"/>
      <c r="I9" s="281"/>
      <c r="J9" s="281"/>
      <c r="K9" s="281"/>
      <c r="L9" s="281"/>
      <c r="AQ9" s="148"/>
      <c r="AR9" s="148"/>
      <c r="AS9" s="148"/>
    </row>
    <row r="10" spans="2:46" ht="5.0999999999999996" customHeight="1" x14ac:dyDescent="0.2">
      <c r="AQ10" s="148"/>
      <c r="AR10" s="148"/>
      <c r="AS10" s="148"/>
    </row>
    <row r="11" spans="2:46" x14ac:dyDescent="0.2">
      <c r="D11" s="281" t="s">
        <v>509</v>
      </c>
      <c r="E11" s="281"/>
      <c r="F11" s="281"/>
      <c r="G11" s="281"/>
      <c r="H11" s="281"/>
      <c r="I11" s="281"/>
      <c r="J11" s="281"/>
      <c r="K11" s="281"/>
      <c r="L11" s="281"/>
      <c r="AQ11" s="148"/>
      <c r="AR11" s="148"/>
      <c r="AS11" s="148"/>
    </row>
    <row r="12" spans="2:46" ht="5.0999999999999996" customHeight="1" x14ac:dyDescent="0.2">
      <c r="AQ12" s="148"/>
      <c r="AR12" s="148"/>
      <c r="AS12" s="148"/>
    </row>
    <row r="13" spans="2:46" x14ac:dyDescent="0.2">
      <c r="AQ13" s="148"/>
      <c r="AR13" s="148"/>
      <c r="AS13" s="148"/>
    </row>
    <row r="14" spans="2:46" x14ac:dyDescent="0.2">
      <c r="AQ14" s="148"/>
      <c r="AR14" s="148"/>
      <c r="AS14" s="148"/>
    </row>
    <row r="15" spans="2:46" s="150" customFormat="1" ht="5.0999999999999996" customHeight="1" x14ac:dyDescent="0.2">
      <c r="C15" s="151"/>
      <c r="D15" s="152"/>
      <c r="E15" s="153"/>
      <c r="F15" s="154"/>
      <c r="G15" s="154"/>
      <c r="H15" s="154"/>
      <c r="I15" s="154"/>
      <c r="J15" s="154"/>
      <c r="K15" s="151"/>
      <c r="L15" s="154"/>
      <c r="M15" s="155"/>
      <c r="N15" s="154"/>
      <c r="O15" s="156"/>
      <c r="P15" s="154"/>
      <c r="Q15" s="151"/>
      <c r="R15" s="154"/>
      <c r="S15" s="154"/>
      <c r="T15" s="154"/>
      <c r="U15" s="156"/>
      <c r="V15" s="154"/>
      <c r="W15" s="154"/>
      <c r="X15" s="154"/>
      <c r="Y15" s="151"/>
      <c r="Z15" s="154"/>
      <c r="AA15" s="154"/>
      <c r="AB15" s="154"/>
      <c r="AC15" s="152"/>
      <c r="AE15" s="148"/>
      <c r="AF15" s="148"/>
      <c r="AG15" s="148"/>
      <c r="AH15" s="78"/>
    </row>
    <row r="16" spans="2:46" x14ac:dyDescent="0.2">
      <c r="C16" s="157" t="str">
        <f>"２-１．事業場２"&amp;IF(2&lt;中間シート!G3,"～事業場"&amp;DBCS(中間シート!G3),"")&amp;"の事業場の情報を入力してください。"</f>
        <v>２-１．事業場２の事業場の情報を入力してください。</v>
      </c>
      <c r="D16" s="158"/>
      <c r="E16" s="156"/>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E16" s="148"/>
      <c r="AF16" s="148"/>
      <c r="AG16" s="148"/>
      <c r="AH16" s="84"/>
      <c r="AT16" s="145"/>
    </row>
    <row r="17" spans="2:46" x14ac:dyDescent="0.2">
      <c r="C17" s="158"/>
      <c r="D17" s="159" t="s">
        <v>45</v>
      </c>
      <c r="E17" s="156"/>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E17" s="148"/>
      <c r="AF17" s="148"/>
      <c r="AG17" s="148"/>
      <c r="AH17" s="84"/>
      <c r="AT17" s="145"/>
    </row>
    <row r="18" spans="2:46" x14ac:dyDescent="0.2">
      <c r="C18" s="158"/>
      <c r="D18" s="159" t="s">
        <v>46</v>
      </c>
      <c r="E18" s="156"/>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E18" s="148"/>
      <c r="AF18" s="148"/>
      <c r="AG18" s="148"/>
      <c r="AH18" s="84"/>
      <c r="AT18" s="145"/>
    </row>
    <row r="19" spans="2:46" x14ac:dyDescent="0.2">
      <c r="C19" s="158"/>
      <c r="D19" s="158"/>
      <c r="E19" s="156"/>
      <c r="F19" s="158"/>
      <c r="G19" s="156"/>
      <c r="H19" s="158"/>
      <c r="I19" s="158"/>
      <c r="J19" s="158"/>
      <c r="K19" s="158"/>
      <c r="L19" s="158"/>
      <c r="M19" s="158"/>
      <c r="N19" s="158"/>
      <c r="O19" s="158"/>
      <c r="P19" s="158"/>
      <c r="Q19" s="158"/>
      <c r="R19" s="158"/>
      <c r="S19" s="158"/>
      <c r="T19" s="158"/>
      <c r="U19" s="158"/>
      <c r="V19" s="158"/>
      <c r="W19" s="158"/>
      <c r="X19" s="158"/>
      <c r="Y19" s="158"/>
      <c r="Z19" s="158"/>
      <c r="AA19" s="158"/>
      <c r="AB19" s="158"/>
      <c r="AC19" s="158"/>
      <c r="AE19" s="148"/>
      <c r="AF19" s="148"/>
      <c r="AG19" s="148"/>
      <c r="AH19" s="84"/>
      <c r="AT19" s="145"/>
    </row>
    <row r="20" spans="2:46" s="150" customFormat="1" ht="32.1" customHeight="1" thickBot="1" x14ac:dyDescent="0.25">
      <c r="C20" s="151"/>
      <c r="D20" s="151"/>
      <c r="E20" s="153"/>
      <c r="F20" s="238" t="s">
        <v>23</v>
      </c>
      <c r="G20" s="238"/>
      <c r="H20" s="238"/>
      <c r="I20" s="238"/>
      <c r="J20" s="238"/>
      <c r="K20" s="151"/>
      <c r="L20" s="238" t="s">
        <v>8</v>
      </c>
      <c r="M20" s="238"/>
      <c r="N20" s="238"/>
      <c r="O20" s="156"/>
      <c r="P20" s="151" t="s">
        <v>10</v>
      </c>
      <c r="Q20" s="151"/>
      <c r="R20" s="238" t="s">
        <v>13</v>
      </c>
      <c r="S20" s="238"/>
      <c r="T20" s="238"/>
      <c r="U20" s="156"/>
      <c r="V20" s="238" t="s">
        <v>15</v>
      </c>
      <c r="W20" s="238"/>
      <c r="X20" s="238"/>
      <c r="Y20" s="151"/>
      <c r="Z20" s="238" t="s">
        <v>18</v>
      </c>
      <c r="AA20" s="238"/>
      <c r="AB20" s="238"/>
      <c r="AC20" s="151"/>
      <c r="AD20" s="145"/>
      <c r="AE20" s="148"/>
      <c r="AF20" s="148"/>
      <c r="AG20" s="148"/>
      <c r="AH20" s="78"/>
    </row>
    <row r="21" spans="2:46" s="150" customFormat="1" ht="18" customHeight="1" thickBot="1" x14ac:dyDescent="0.25">
      <c r="C21" s="151"/>
      <c r="D21" s="152" t="s">
        <v>25</v>
      </c>
      <c r="E21" s="153"/>
      <c r="F21" s="237" t="str">
        <f>中間シート!G4</f>
        <v/>
      </c>
      <c r="G21" s="237"/>
      <c r="H21" s="237"/>
      <c r="I21" s="237"/>
      <c r="J21" s="237"/>
      <c r="K21" s="160"/>
      <c r="L21" s="133" t="str">
        <f>中間シート!G5</f>
        <v/>
      </c>
      <c r="M21" s="161" t="s">
        <v>47</v>
      </c>
      <c r="N21" s="133" t="str">
        <f>中間シート!H5</f>
        <v/>
      </c>
      <c r="O21" s="162"/>
      <c r="P21" s="133" t="str">
        <f>中間シート!G6</f>
        <v/>
      </c>
      <c r="Q21" s="160"/>
      <c r="R21" s="237" t="str">
        <f>中間シート!G7</f>
        <v/>
      </c>
      <c r="S21" s="237"/>
      <c r="T21" s="237"/>
      <c r="U21" s="162"/>
      <c r="V21" s="237" t="str">
        <f>中間シート!G8</f>
        <v/>
      </c>
      <c r="W21" s="237"/>
      <c r="X21" s="237"/>
      <c r="Y21" s="160"/>
      <c r="Z21" s="237" t="str">
        <f>中間シート!G9</f>
        <v/>
      </c>
      <c r="AA21" s="237"/>
      <c r="AB21" s="237"/>
      <c r="AC21" s="151"/>
      <c r="AE21" s="148"/>
      <c r="AF21" s="148"/>
      <c r="AG21" s="148"/>
      <c r="AH21" s="78" t="str">
        <f ca="1">IF($B21&lt;=入力シート!$F$22,IF(AI21&lt;&gt;"OK",AI21,IF(AJ21&lt;&gt;"OK",AJ21,IF(AK21&lt;&gt;"OK",AK21,IF(AL21&lt;&gt;"OK",AL21,AM21)))),"")</f>
        <v>事業場名を入力してください。</v>
      </c>
      <c r="AI21" s="150" t="str">
        <f ca="1">中間シート!X4</f>
        <v>事業場名を入力してください。</v>
      </c>
      <c r="AJ21" s="145" t="str">
        <f ca="1">中間シート!X5</f>
        <v>郵便番号を入力してください。</v>
      </c>
      <c r="AK21" s="145" t="str">
        <f ca="1">中間シート!X6</f>
        <v>都道府県を選択してください。</v>
      </c>
      <c r="AL21" s="145" t="str">
        <f ca="1">中間シート!X7</f>
        <v>市区町村を入力してください。</v>
      </c>
      <c r="AM21" s="141" t="str">
        <f ca="1">中間シート!X8</f>
        <v>町名地番を入力してください。</v>
      </c>
    </row>
    <row r="22" spans="2:46" s="150" customFormat="1" ht="5.0999999999999996" customHeight="1" thickBot="1" x14ac:dyDescent="0.25">
      <c r="C22" s="151"/>
      <c r="D22" s="152"/>
      <c r="E22" s="153"/>
      <c r="F22" s="163"/>
      <c r="G22" s="163"/>
      <c r="H22" s="163"/>
      <c r="I22" s="163"/>
      <c r="J22" s="163"/>
      <c r="K22" s="160"/>
      <c r="L22" s="163"/>
      <c r="M22" s="161"/>
      <c r="N22" s="163"/>
      <c r="O22" s="162"/>
      <c r="P22" s="163"/>
      <c r="Q22" s="160"/>
      <c r="R22" s="163"/>
      <c r="S22" s="163"/>
      <c r="T22" s="163"/>
      <c r="U22" s="162"/>
      <c r="V22" s="163"/>
      <c r="W22" s="163"/>
      <c r="X22" s="163"/>
      <c r="Y22" s="160"/>
      <c r="Z22" s="163"/>
      <c r="AA22" s="163"/>
      <c r="AB22" s="163"/>
      <c r="AC22" s="152"/>
      <c r="AE22" s="148"/>
      <c r="AF22" s="148"/>
      <c r="AG22" s="148"/>
      <c r="AH22" s="78"/>
    </row>
    <row r="23" spans="2:46" ht="18" customHeight="1" thickBot="1" x14ac:dyDescent="0.25">
      <c r="B23" s="145">
        <v>2</v>
      </c>
      <c r="C23" s="158"/>
      <c r="D23" s="152" t="s">
        <v>48</v>
      </c>
      <c r="E23" s="156"/>
      <c r="F23" s="236"/>
      <c r="G23" s="236"/>
      <c r="H23" s="236"/>
      <c r="I23" s="236"/>
      <c r="J23" s="236"/>
      <c r="K23" s="160"/>
      <c r="L23" s="126"/>
      <c r="M23" s="161" t="s">
        <v>47</v>
      </c>
      <c r="N23" s="126"/>
      <c r="O23" s="162"/>
      <c r="P23" s="132"/>
      <c r="Q23" s="160"/>
      <c r="R23" s="236"/>
      <c r="S23" s="236"/>
      <c r="T23" s="236"/>
      <c r="U23" s="162"/>
      <c r="V23" s="236"/>
      <c r="W23" s="236"/>
      <c r="X23" s="236"/>
      <c r="Y23" s="160"/>
      <c r="Z23" s="236"/>
      <c r="AA23" s="236"/>
      <c r="AB23" s="236"/>
      <c r="AC23" s="158"/>
      <c r="AE23" s="148"/>
      <c r="AF23" s="148"/>
      <c r="AG23" s="148"/>
      <c r="AH23" s="78" t="str">
        <f>IF($B23&lt;=入力シート!$F$22,IF(AI23&lt;&gt;"OK",AI23,IF(AJ23&lt;&gt;"OK",AJ23,IF(AK23&lt;&gt;"OK",AK23,IF(AL23&lt;&gt;"OK",AL23,AM23)))),"")</f>
        <v/>
      </c>
      <c r="AI23" s="150" t="str">
        <f ca="1">中間シート!X10</f>
        <v>事業場名を入力してください。</v>
      </c>
      <c r="AJ23" s="145" t="str">
        <f ca="1">中間シート!X11</f>
        <v>郵便番号を入力してください。</v>
      </c>
      <c r="AK23" s="150" t="str">
        <f ca="1">中間シート!X12</f>
        <v>都道府県を選択してください。</v>
      </c>
      <c r="AL23" s="145" t="str">
        <f ca="1">中間シート!X13</f>
        <v>市区町村を入力してください。</v>
      </c>
      <c r="AM23" s="150" t="str">
        <f ca="1">中間シート!X14</f>
        <v>町名地番を入力してください。</v>
      </c>
      <c r="AT23" s="145"/>
    </row>
    <row r="24" spans="2:46" s="150" customFormat="1" ht="5.0999999999999996" customHeight="1" thickBot="1" x14ac:dyDescent="0.25">
      <c r="C24" s="151"/>
      <c r="D24" s="152"/>
      <c r="E24" s="153"/>
      <c r="F24" s="163"/>
      <c r="G24" s="163"/>
      <c r="H24" s="163"/>
      <c r="I24" s="163"/>
      <c r="J24" s="163"/>
      <c r="K24" s="160"/>
      <c r="L24" s="164"/>
      <c r="M24" s="161"/>
      <c r="N24" s="164"/>
      <c r="O24" s="162"/>
      <c r="P24" s="163"/>
      <c r="Q24" s="160"/>
      <c r="R24" s="163"/>
      <c r="S24" s="163"/>
      <c r="T24" s="163"/>
      <c r="U24" s="162"/>
      <c r="V24" s="163"/>
      <c r="W24" s="163"/>
      <c r="X24" s="163"/>
      <c r="Y24" s="160"/>
      <c r="Z24" s="163"/>
      <c r="AA24" s="163"/>
      <c r="AB24" s="163"/>
      <c r="AC24" s="152"/>
      <c r="AE24" s="148"/>
      <c r="AF24" s="148"/>
      <c r="AG24" s="148"/>
      <c r="AH24" s="78"/>
    </row>
    <row r="25" spans="2:46" ht="18" customHeight="1" thickBot="1" x14ac:dyDescent="0.25">
      <c r="B25" s="145">
        <v>3</v>
      </c>
      <c r="C25" s="158"/>
      <c r="D25" s="152" t="s">
        <v>49</v>
      </c>
      <c r="E25" s="156"/>
      <c r="F25" s="236"/>
      <c r="G25" s="236"/>
      <c r="H25" s="236"/>
      <c r="I25" s="236"/>
      <c r="J25" s="236"/>
      <c r="K25" s="160"/>
      <c r="L25" s="126"/>
      <c r="M25" s="161" t="s">
        <v>47</v>
      </c>
      <c r="N25" s="126"/>
      <c r="O25" s="162"/>
      <c r="P25" s="132"/>
      <c r="Q25" s="160"/>
      <c r="R25" s="236"/>
      <c r="S25" s="236"/>
      <c r="T25" s="236"/>
      <c r="U25" s="162"/>
      <c r="V25" s="236"/>
      <c r="W25" s="236"/>
      <c r="X25" s="236"/>
      <c r="Y25" s="160"/>
      <c r="Z25" s="236"/>
      <c r="AA25" s="236"/>
      <c r="AB25" s="236"/>
      <c r="AC25" s="158"/>
      <c r="AE25" s="148"/>
      <c r="AF25" s="148"/>
      <c r="AG25" s="148"/>
      <c r="AH25" s="78" t="str">
        <f>IF($B25&lt;=入力シート!$F$22,IF(AI25&lt;&gt;"OK",AI25,IF(AJ25&lt;&gt;"OK",AJ25,IF(AK25&lt;&gt;"OK",AK25,IF(AL25&lt;&gt;"OK",AL25,AM25)))),"")</f>
        <v/>
      </c>
      <c r="AI25" s="150" t="str">
        <f ca="1">中間シート!X16</f>
        <v>事業場名を入力してください。</v>
      </c>
      <c r="AJ25" s="145" t="str">
        <f ca="1">中間シート!X17</f>
        <v>郵便番号を入力してください。</v>
      </c>
      <c r="AK25" s="150" t="str">
        <f ca="1">中間シート!X18</f>
        <v>都道府県を選択してください。</v>
      </c>
      <c r="AL25" s="145" t="str">
        <f ca="1">中間シート!X19</f>
        <v>市区町村を入力してください。</v>
      </c>
      <c r="AM25" s="150" t="str">
        <f ca="1">中間シート!X20</f>
        <v>町名地番を入力してください。</v>
      </c>
      <c r="AT25" s="145"/>
    </row>
    <row r="26" spans="2:46" s="150" customFormat="1" ht="5.0999999999999996" customHeight="1" thickBot="1" x14ac:dyDescent="0.25">
      <c r="C26" s="151"/>
      <c r="D26" s="152"/>
      <c r="E26" s="153"/>
      <c r="F26" s="163"/>
      <c r="G26" s="163"/>
      <c r="H26" s="163"/>
      <c r="I26" s="163"/>
      <c r="J26" s="163"/>
      <c r="K26" s="160"/>
      <c r="L26" s="164"/>
      <c r="M26" s="161"/>
      <c r="N26" s="164"/>
      <c r="O26" s="162"/>
      <c r="P26" s="163"/>
      <c r="Q26" s="160"/>
      <c r="R26" s="163"/>
      <c r="S26" s="163"/>
      <c r="T26" s="163"/>
      <c r="U26" s="162"/>
      <c r="V26" s="163"/>
      <c r="W26" s="163"/>
      <c r="X26" s="163"/>
      <c r="Y26" s="160"/>
      <c r="Z26" s="163"/>
      <c r="AA26" s="163"/>
      <c r="AB26" s="163"/>
      <c r="AC26" s="152"/>
      <c r="AE26" s="148"/>
      <c r="AF26" s="148"/>
      <c r="AG26" s="148"/>
      <c r="AH26" s="78"/>
    </row>
    <row r="27" spans="2:46" ht="18" customHeight="1" thickBot="1" x14ac:dyDescent="0.25">
      <c r="B27" s="145">
        <v>4</v>
      </c>
      <c r="C27" s="158"/>
      <c r="D27" s="152" t="s">
        <v>50</v>
      </c>
      <c r="E27" s="156"/>
      <c r="F27" s="236"/>
      <c r="G27" s="236"/>
      <c r="H27" s="236"/>
      <c r="I27" s="236"/>
      <c r="J27" s="236"/>
      <c r="K27" s="160"/>
      <c r="L27" s="126"/>
      <c r="M27" s="161" t="s">
        <v>47</v>
      </c>
      <c r="N27" s="126"/>
      <c r="O27" s="162"/>
      <c r="P27" s="132"/>
      <c r="Q27" s="160"/>
      <c r="R27" s="236"/>
      <c r="S27" s="236"/>
      <c r="T27" s="236"/>
      <c r="U27" s="162"/>
      <c r="V27" s="236"/>
      <c r="W27" s="236"/>
      <c r="X27" s="236"/>
      <c r="Y27" s="160"/>
      <c r="Z27" s="236"/>
      <c r="AA27" s="236"/>
      <c r="AB27" s="236"/>
      <c r="AC27" s="158"/>
      <c r="AE27" s="148"/>
      <c r="AF27" s="148"/>
      <c r="AG27" s="148"/>
      <c r="AH27" s="78" t="str">
        <f>IF($B27&lt;=入力シート!$F$22,IF(AI27&lt;&gt;"OK",AI27,IF(AJ27&lt;&gt;"OK",AJ27,IF(AK27&lt;&gt;"OK",AK27,IF(AL27&lt;&gt;"OK",AL27,AM27)))),"")</f>
        <v/>
      </c>
      <c r="AI27" s="150" t="str">
        <f ca="1">中間シート!X22</f>
        <v>事業場名を入力してください。</v>
      </c>
      <c r="AJ27" s="145" t="str">
        <f ca="1">中間シート!X23</f>
        <v>郵便番号を入力してください。</v>
      </c>
      <c r="AK27" s="150" t="str">
        <f ca="1">中間シート!X24</f>
        <v>都道府県を選択してください。</v>
      </c>
      <c r="AL27" s="145" t="str">
        <f ca="1">中間シート!X25</f>
        <v>市区町村を入力してください。</v>
      </c>
      <c r="AM27" s="150" t="str">
        <f ca="1">中間シート!X26</f>
        <v>町名地番を入力してください。</v>
      </c>
      <c r="AT27" s="145"/>
    </row>
    <row r="28" spans="2:46" s="150" customFormat="1" ht="5.0999999999999996" customHeight="1" thickBot="1" x14ac:dyDescent="0.25">
      <c r="C28" s="151"/>
      <c r="D28" s="152"/>
      <c r="E28" s="153"/>
      <c r="F28" s="163"/>
      <c r="G28" s="163"/>
      <c r="H28" s="163"/>
      <c r="I28" s="163"/>
      <c r="J28" s="163"/>
      <c r="K28" s="160"/>
      <c r="L28" s="164"/>
      <c r="M28" s="161"/>
      <c r="N28" s="164"/>
      <c r="O28" s="162"/>
      <c r="P28" s="163"/>
      <c r="Q28" s="160"/>
      <c r="R28" s="163"/>
      <c r="S28" s="163"/>
      <c r="T28" s="163"/>
      <c r="U28" s="162"/>
      <c r="V28" s="163"/>
      <c r="W28" s="163"/>
      <c r="X28" s="163"/>
      <c r="Y28" s="160"/>
      <c r="Z28" s="163"/>
      <c r="AA28" s="163"/>
      <c r="AB28" s="163"/>
      <c r="AC28" s="152"/>
      <c r="AE28" s="148"/>
      <c r="AF28" s="148"/>
      <c r="AG28" s="148"/>
      <c r="AH28" s="78"/>
    </row>
    <row r="29" spans="2:46" ht="18" customHeight="1" thickBot="1" x14ac:dyDescent="0.25">
      <c r="B29" s="145">
        <v>5</v>
      </c>
      <c r="C29" s="158"/>
      <c r="D29" s="152" t="s">
        <v>51</v>
      </c>
      <c r="E29" s="156"/>
      <c r="F29" s="236"/>
      <c r="G29" s="236"/>
      <c r="H29" s="236"/>
      <c r="I29" s="236"/>
      <c r="J29" s="236"/>
      <c r="K29" s="160"/>
      <c r="L29" s="126"/>
      <c r="M29" s="161" t="s">
        <v>47</v>
      </c>
      <c r="N29" s="126"/>
      <c r="O29" s="162"/>
      <c r="P29" s="132"/>
      <c r="Q29" s="160"/>
      <c r="R29" s="236"/>
      <c r="S29" s="236"/>
      <c r="T29" s="236"/>
      <c r="U29" s="162"/>
      <c r="V29" s="236"/>
      <c r="W29" s="236"/>
      <c r="X29" s="236"/>
      <c r="Y29" s="160"/>
      <c r="Z29" s="236"/>
      <c r="AA29" s="236"/>
      <c r="AB29" s="236"/>
      <c r="AC29" s="158"/>
      <c r="AE29" s="148"/>
      <c r="AF29" s="148"/>
      <c r="AG29" s="148"/>
      <c r="AH29" s="78" t="str">
        <f>IF($B29&lt;=入力シート!$F$22,IF(AI29&lt;&gt;"OK",AI29,IF(AJ29&lt;&gt;"OK",AJ29,IF(AK29&lt;&gt;"OK",AK29,IF(AL29&lt;&gt;"OK",AL29,AM29)))),"")</f>
        <v/>
      </c>
      <c r="AI29" s="150" t="str">
        <f ca="1">中間シート!X28</f>
        <v>事業場名を入力してください。</v>
      </c>
      <c r="AJ29" s="145" t="str">
        <f ca="1">中間シート!X29</f>
        <v>郵便番号を入力してください。</v>
      </c>
      <c r="AK29" s="150" t="str">
        <f ca="1">中間シート!X30</f>
        <v>都道府県を選択してください。</v>
      </c>
      <c r="AL29" s="145" t="str">
        <f ca="1">中間シート!X31</f>
        <v>市区町村を入力してください。</v>
      </c>
      <c r="AM29" s="150" t="str">
        <f ca="1">中間シート!X32</f>
        <v>町名地番を入力してください。</v>
      </c>
      <c r="AT29" s="145"/>
    </row>
    <row r="30" spans="2:46" s="150" customFormat="1" ht="5.0999999999999996" customHeight="1" thickBot="1" x14ac:dyDescent="0.25">
      <c r="C30" s="151"/>
      <c r="D30" s="152"/>
      <c r="E30" s="153"/>
      <c r="F30" s="163"/>
      <c r="G30" s="163"/>
      <c r="H30" s="163"/>
      <c r="I30" s="163"/>
      <c r="J30" s="163"/>
      <c r="K30" s="160"/>
      <c r="L30" s="164"/>
      <c r="M30" s="161"/>
      <c r="N30" s="164"/>
      <c r="O30" s="162"/>
      <c r="P30" s="163"/>
      <c r="Q30" s="160"/>
      <c r="R30" s="163"/>
      <c r="S30" s="163"/>
      <c r="T30" s="163"/>
      <c r="U30" s="162"/>
      <c r="V30" s="163"/>
      <c r="W30" s="211"/>
      <c r="X30" s="163"/>
      <c r="Y30" s="160"/>
      <c r="Z30" s="163"/>
      <c r="AA30" s="163"/>
      <c r="AB30" s="163"/>
      <c r="AC30" s="152"/>
      <c r="AE30" s="148"/>
      <c r="AF30" s="148"/>
      <c r="AG30" s="148"/>
      <c r="AH30" s="78"/>
    </row>
    <row r="31" spans="2:46" ht="18" customHeight="1" thickBot="1" x14ac:dyDescent="0.25">
      <c r="B31" s="145">
        <v>6</v>
      </c>
      <c r="C31" s="158"/>
      <c r="D31" s="152" t="s">
        <v>52</v>
      </c>
      <c r="E31" s="156"/>
      <c r="F31" s="236"/>
      <c r="G31" s="236"/>
      <c r="H31" s="236"/>
      <c r="I31" s="236"/>
      <c r="J31" s="236"/>
      <c r="K31" s="160"/>
      <c r="L31" s="126"/>
      <c r="M31" s="161" t="s">
        <v>47</v>
      </c>
      <c r="N31" s="126"/>
      <c r="O31" s="162"/>
      <c r="P31" s="132"/>
      <c r="Q31" s="160"/>
      <c r="R31" s="236"/>
      <c r="S31" s="236"/>
      <c r="T31" s="236"/>
      <c r="U31" s="162"/>
      <c r="V31" s="236"/>
      <c r="W31" s="236"/>
      <c r="X31" s="236"/>
      <c r="Y31" s="160"/>
      <c r="Z31" s="236"/>
      <c r="AA31" s="236"/>
      <c r="AB31" s="236"/>
      <c r="AC31" s="158"/>
      <c r="AE31" s="148"/>
      <c r="AF31" s="148"/>
      <c r="AG31" s="148"/>
      <c r="AH31" s="78" t="str">
        <f>IF($B31&lt;=入力シート!$F$22,IF(AI31&lt;&gt;"OK",AI31,IF(AJ31&lt;&gt;"OK",AJ31,IF(AK31&lt;&gt;"OK",AK31,IF(AL31&lt;&gt;"OK",AL31,AM31)))),"")</f>
        <v/>
      </c>
      <c r="AI31" s="150" t="str">
        <f ca="1">中間シート!X34</f>
        <v>事業場名を入力してください。</v>
      </c>
      <c r="AJ31" s="165" t="str">
        <f ca="1">中間シート!X35</f>
        <v>郵便番号を入力してください。</v>
      </c>
      <c r="AK31" s="150" t="str">
        <f ca="1">中間シート!X36</f>
        <v>都道府県を選択してください。</v>
      </c>
      <c r="AL31" s="145" t="str">
        <f ca="1">中間シート!X37</f>
        <v>市区町村を入力してください。</v>
      </c>
      <c r="AM31" s="150" t="str">
        <f ca="1">中間シート!X38</f>
        <v>町名地番を入力してください。</v>
      </c>
      <c r="AT31" s="145"/>
    </row>
    <row r="32" spans="2:46" s="150" customFormat="1" ht="5.0999999999999996" customHeight="1" thickBot="1" x14ac:dyDescent="0.25">
      <c r="C32" s="151"/>
      <c r="D32" s="152"/>
      <c r="E32" s="153"/>
      <c r="F32" s="163"/>
      <c r="G32" s="163"/>
      <c r="H32" s="163"/>
      <c r="I32" s="163"/>
      <c r="J32" s="163"/>
      <c r="K32" s="160"/>
      <c r="L32" s="164"/>
      <c r="M32" s="161"/>
      <c r="N32" s="164"/>
      <c r="O32" s="162"/>
      <c r="P32" s="163"/>
      <c r="Q32" s="160"/>
      <c r="R32" s="163"/>
      <c r="S32" s="163"/>
      <c r="T32" s="163"/>
      <c r="U32" s="162"/>
      <c r="V32" s="163"/>
      <c r="W32" s="163"/>
      <c r="X32" s="163"/>
      <c r="Y32" s="160"/>
      <c r="Z32" s="163"/>
      <c r="AA32" s="163"/>
      <c r="AB32" s="163"/>
      <c r="AC32" s="152"/>
      <c r="AE32" s="148"/>
      <c r="AF32" s="148"/>
      <c r="AG32" s="148"/>
      <c r="AH32" s="78"/>
    </row>
    <row r="33" spans="2:46" ht="18" customHeight="1" thickBot="1" x14ac:dyDescent="0.25">
      <c r="B33" s="145">
        <v>7</v>
      </c>
      <c r="C33" s="158"/>
      <c r="D33" s="152" t="s">
        <v>53</v>
      </c>
      <c r="E33" s="156"/>
      <c r="F33" s="236"/>
      <c r="G33" s="236"/>
      <c r="H33" s="236"/>
      <c r="I33" s="236"/>
      <c r="J33" s="236"/>
      <c r="K33" s="160"/>
      <c r="L33" s="126"/>
      <c r="M33" s="161" t="s">
        <v>47</v>
      </c>
      <c r="N33" s="126"/>
      <c r="O33" s="162"/>
      <c r="P33" s="132"/>
      <c r="Q33" s="160"/>
      <c r="R33" s="236"/>
      <c r="S33" s="236"/>
      <c r="T33" s="236"/>
      <c r="U33" s="162"/>
      <c r="V33" s="236"/>
      <c r="W33" s="236"/>
      <c r="X33" s="236"/>
      <c r="Y33" s="160"/>
      <c r="Z33" s="236"/>
      <c r="AA33" s="236"/>
      <c r="AB33" s="236"/>
      <c r="AC33" s="158"/>
      <c r="AE33" s="148"/>
      <c r="AF33" s="148"/>
      <c r="AG33" s="148"/>
      <c r="AH33" s="78" t="str">
        <f>IF($B33&lt;=入力シート!$F$22,IF(AI33&lt;&gt;"OK",AI33,IF(AJ33&lt;&gt;"OK",AJ33,IF(AK33&lt;&gt;"OK",AK33,IF(AL33&lt;&gt;"OK",AL33,AM33)))),"")</f>
        <v/>
      </c>
      <c r="AI33" s="150" t="str">
        <f ca="1">中間シート!X40</f>
        <v>事業場名を入力してください。</v>
      </c>
      <c r="AJ33" s="145" t="str">
        <f ca="1">中間シート!X41</f>
        <v>郵便番号を入力してください。</v>
      </c>
      <c r="AK33" s="150" t="str">
        <f ca="1">中間シート!X42</f>
        <v>都道府県を選択してください。</v>
      </c>
      <c r="AL33" s="145" t="str">
        <f ca="1">中間シート!X43</f>
        <v>市区町村を入力してください。</v>
      </c>
      <c r="AM33" s="150" t="str">
        <f ca="1">中間シート!X44</f>
        <v>町名地番を入力してください。</v>
      </c>
      <c r="AT33" s="145"/>
    </row>
    <row r="34" spans="2:46" s="150" customFormat="1" ht="5.0999999999999996" customHeight="1" thickBot="1" x14ac:dyDescent="0.25">
      <c r="C34" s="151"/>
      <c r="D34" s="152"/>
      <c r="E34" s="153"/>
      <c r="F34" s="163"/>
      <c r="G34" s="163"/>
      <c r="H34" s="163"/>
      <c r="I34" s="163"/>
      <c r="J34" s="163"/>
      <c r="K34" s="160"/>
      <c r="L34" s="164"/>
      <c r="M34" s="161"/>
      <c r="N34" s="164"/>
      <c r="O34" s="162"/>
      <c r="P34" s="163"/>
      <c r="Q34" s="160"/>
      <c r="R34" s="163"/>
      <c r="S34" s="163"/>
      <c r="T34" s="163"/>
      <c r="U34" s="162"/>
      <c r="V34" s="163"/>
      <c r="W34" s="163"/>
      <c r="X34" s="163"/>
      <c r="Y34" s="160"/>
      <c r="Z34" s="163"/>
      <c r="AA34" s="163"/>
      <c r="AB34" s="163"/>
      <c r="AC34" s="152"/>
      <c r="AE34" s="148"/>
      <c r="AF34" s="148"/>
      <c r="AG34" s="148"/>
      <c r="AH34" s="78"/>
    </row>
    <row r="35" spans="2:46" s="166" customFormat="1" ht="18" customHeight="1" thickBot="1" x14ac:dyDescent="0.25">
      <c r="B35" s="166">
        <v>8</v>
      </c>
      <c r="C35" s="158"/>
      <c r="D35" s="152" t="s">
        <v>54</v>
      </c>
      <c r="E35" s="167"/>
      <c r="F35" s="236"/>
      <c r="G35" s="236"/>
      <c r="H35" s="236"/>
      <c r="I35" s="236"/>
      <c r="J35" s="236"/>
      <c r="K35" s="160"/>
      <c r="L35" s="126"/>
      <c r="M35" s="161" t="s">
        <v>47</v>
      </c>
      <c r="N35" s="126"/>
      <c r="O35" s="162"/>
      <c r="P35" s="132"/>
      <c r="Q35" s="160"/>
      <c r="R35" s="236"/>
      <c r="S35" s="236"/>
      <c r="T35" s="236"/>
      <c r="U35" s="162"/>
      <c r="V35" s="236"/>
      <c r="W35" s="236"/>
      <c r="X35" s="236"/>
      <c r="Y35" s="160"/>
      <c r="Z35" s="236"/>
      <c r="AA35" s="236"/>
      <c r="AB35" s="236"/>
      <c r="AC35" s="168"/>
      <c r="AE35" s="148"/>
      <c r="AF35" s="148"/>
      <c r="AG35" s="148"/>
      <c r="AH35" s="78" t="str">
        <f>IF($B35&lt;=入力シート!$F$22,IF(AI35&lt;&gt;"OK",AI35,IF(AJ35&lt;&gt;"OK",AJ35,IF(AK35&lt;&gt;"OK",AK35,IF(AL35&lt;&gt;"OK",AL35,AM35)))),"")</f>
        <v/>
      </c>
      <c r="AI35" s="150" t="str">
        <f ca="1">中間シート!X46</f>
        <v>事業場名を入力してください。</v>
      </c>
      <c r="AJ35" s="145" t="str">
        <f ca="1">中間シート!X47</f>
        <v>郵便番号を入力してください。</v>
      </c>
      <c r="AK35" s="150" t="str">
        <f ca="1">中間シート!X48</f>
        <v>都道府県を選択してください。</v>
      </c>
      <c r="AL35" s="145" t="str">
        <f ca="1">中間シート!X49</f>
        <v>市区町村を入力してください。</v>
      </c>
      <c r="AM35" s="150" t="str">
        <f ca="1">中間シート!X50</f>
        <v>町名地番を入力してください。</v>
      </c>
      <c r="AN35" s="165"/>
    </row>
    <row r="36" spans="2:46" s="150" customFormat="1" ht="5.0999999999999996" customHeight="1" thickBot="1" x14ac:dyDescent="0.25">
      <c r="C36" s="151"/>
      <c r="D36" s="152"/>
      <c r="E36" s="153"/>
      <c r="F36" s="163"/>
      <c r="G36" s="163"/>
      <c r="H36" s="163"/>
      <c r="I36" s="163"/>
      <c r="J36" s="163"/>
      <c r="K36" s="160"/>
      <c r="L36" s="164"/>
      <c r="M36" s="161"/>
      <c r="N36" s="164"/>
      <c r="O36" s="162"/>
      <c r="P36" s="163"/>
      <c r="Q36" s="160"/>
      <c r="R36" s="163"/>
      <c r="S36" s="163"/>
      <c r="T36" s="163"/>
      <c r="U36" s="162"/>
      <c r="V36" s="163"/>
      <c r="W36" s="163"/>
      <c r="X36" s="163"/>
      <c r="Y36" s="160"/>
      <c r="Z36" s="163"/>
      <c r="AA36" s="163"/>
      <c r="AB36" s="163"/>
      <c r="AC36" s="152"/>
      <c r="AE36" s="148"/>
      <c r="AF36" s="148"/>
      <c r="AG36" s="148"/>
      <c r="AH36" s="78"/>
    </row>
    <row r="37" spans="2:46" ht="18" customHeight="1" thickBot="1" x14ac:dyDescent="0.25">
      <c r="B37" s="145">
        <v>9</v>
      </c>
      <c r="C37" s="158"/>
      <c r="D37" s="152" t="s">
        <v>55</v>
      </c>
      <c r="E37" s="156"/>
      <c r="F37" s="236"/>
      <c r="G37" s="236"/>
      <c r="H37" s="236"/>
      <c r="I37" s="236"/>
      <c r="J37" s="236"/>
      <c r="K37" s="160"/>
      <c r="L37" s="126"/>
      <c r="M37" s="161" t="s">
        <v>47</v>
      </c>
      <c r="N37" s="126"/>
      <c r="O37" s="162"/>
      <c r="P37" s="132"/>
      <c r="Q37" s="160"/>
      <c r="R37" s="236"/>
      <c r="S37" s="236"/>
      <c r="T37" s="236"/>
      <c r="U37" s="162"/>
      <c r="V37" s="236"/>
      <c r="W37" s="236"/>
      <c r="X37" s="236"/>
      <c r="Y37" s="160"/>
      <c r="Z37" s="236"/>
      <c r="AA37" s="236"/>
      <c r="AB37" s="236"/>
      <c r="AC37" s="158"/>
      <c r="AE37" s="148"/>
      <c r="AF37" s="148"/>
      <c r="AG37" s="148"/>
      <c r="AH37" s="78" t="str">
        <f>IF($B37&lt;=入力シート!$F$22,IF(AI37&lt;&gt;"OK",AI37,IF(AJ37&lt;&gt;"OK",AJ37,IF(AK37&lt;&gt;"OK",AK37,IF(AL37&lt;&gt;"OK",AL37,AM37)))),"")</f>
        <v/>
      </c>
      <c r="AI37" s="150" t="str">
        <f ca="1">中間シート!X52</f>
        <v>事業場名を入力してください。</v>
      </c>
      <c r="AJ37" s="145" t="str">
        <f ca="1">中間シート!X53</f>
        <v>郵便番号を入力してください。</v>
      </c>
      <c r="AK37" s="150" t="str">
        <f ca="1">中間シート!X54</f>
        <v>都道府県を選択してください。</v>
      </c>
      <c r="AL37" s="145" t="str">
        <f ca="1">中間シート!X55</f>
        <v>市区町村を入力してください。</v>
      </c>
      <c r="AM37" s="150" t="str">
        <f ca="1">中間シート!X56</f>
        <v>町名地番を入力してください。</v>
      </c>
      <c r="AT37" s="145"/>
    </row>
    <row r="38" spans="2:46" s="150" customFormat="1" ht="5.0999999999999996" customHeight="1" thickBot="1" x14ac:dyDescent="0.25">
      <c r="C38" s="151"/>
      <c r="D38" s="152"/>
      <c r="E38" s="153"/>
      <c r="F38" s="163"/>
      <c r="G38" s="163"/>
      <c r="H38" s="163"/>
      <c r="I38" s="163"/>
      <c r="J38" s="163"/>
      <c r="K38" s="160"/>
      <c r="L38" s="164"/>
      <c r="M38" s="161"/>
      <c r="N38" s="164"/>
      <c r="O38" s="162"/>
      <c r="P38" s="163"/>
      <c r="Q38" s="160"/>
      <c r="R38" s="163"/>
      <c r="S38" s="163"/>
      <c r="T38" s="163"/>
      <c r="U38" s="162"/>
      <c r="V38" s="163"/>
      <c r="W38" s="163"/>
      <c r="X38" s="163"/>
      <c r="Y38" s="160"/>
      <c r="Z38" s="163"/>
      <c r="AA38" s="163"/>
      <c r="AB38" s="163"/>
      <c r="AC38" s="152"/>
      <c r="AE38" s="148"/>
      <c r="AF38" s="148"/>
      <c r="AG38" s="148"/>
      <c r="AH38" s="78"/>
    </row>
    <row r="39" spans="2:46" ht="18" customHeight="1" thickBot="1" x14ac:dyDescent="0.25">
      <c r="B39" s="145">
        <v>10</v>
      </c>
      <c r="C39" s="158"/>
      <c r="D39" s="152" t="s">
        <v>56</v>
      </c>
      <c r="E39" s="156"/>
      <c r="F39" s="236"/>
      <c r="G39" s="236"/>
      <c r="H39" s="236"/>
      <c r="I39" s="236"/>
      <c r="J39" s="236"/>
      <c r="K39" s="160"/>
      <c r="L39" s="126"/>
      <c r="M39" s="161" t="s">
        <v>47</v>
      </c>
      <c r="N39" s="126"/>
      <c r="O39" s="162"/>
      <c r="P39" s="132"/>
      <c r="Q39" s="160"/>
      <c r="R39" s="236"/>
      <c r="S39" s="236"/>
      <c r="T39" s="236"/>
      <c r="U39" s="162"/>
      <c r="V39" s="236"/>
      <c r="W39" s="236"/>
      <c r="X39" s="236"/>
      <c r="Y39" s="160"/>
      <c r="Z39" s="236"/>
      <c r="AA39" s="236"/>
      <c r="AB39" s="236"/>
      <c r="AC39" s="158"/>
      <c r="AE39" s="148"/>
      <c r="AF39" s="148"/>
      <c r="AG39" s="148"/>
      <c r="AH39" s="78" t="str">
        <f>IF($B39&lt;=入力シート!$F$22,IF(AI39&lt;&gt;"OK",AI39,IF(AJ39&lt;&gt;"OK",AJ39,IF(AK39&lt;&gt;"OK",AK39,IF(AL39&lt;&gt;"OK",AL39,AM39)))),"")</f>
        <v/>
      </c>
      <c r="AI39" s="150" t="str">
        <f ca="1">中間シート!X58</f>
        <v>事業場名を入力してください。</v>
      </c>
      <c r="AJ39" s="145" t="str">
        <f ca="1">中間シート!X59</f>
        <v>郵便番号を入力してください。</v>
      </c>
      <c r="AK39" s="150" t="str">
        <f ca="1">中間シート!X60</f>
        <v>都道府県を選択してください。</v>
      </c>
      <c r="AL39" s="145" t="str">
        <f ca="1">中間シート!X61</f>
        <v>市区町村を入力してください。</v>
      </c>
      <c r="AM39" s="150" t="str">
        <f ca="1">中間シート!X62</f>
        <v>町名地番を入力してください。</v>
      </c>
      <c r="AT39" s="145"/>
    </row>
    <row r="40" spans="2:46" s="150" customFormat="1" ht="5.0999999999999996" customHeight="1" thickBot="1" x14ac:dyDescent="0.25">
      <c r="C40" s="151"/>
      <c r="D40" s="152"/>
      <c r="E40" s="153"/>
      <c r="F40" s="163"/>
      <c r="G40" s="163"/>
      <c r="H40" s="163"/>
      <c r="I40" s="163"/>
      <c r="J40" s="163"/>
      <c r="K40" s="160"/>
      <c r="L40" s="164"/>
      <c r="M40" s="161"/>
      <c r="N40" s="164"/>
      <c r="O40" s="162"/>
      <c r="P40" s="163"/>
      <c r="Q40" s="160"/>
      <c r="R40" s="163"/>
      <c r="S40" s="163"/>
      <c r="T40" s="163"/>
      <c r="U40" s="162"/>
      <c r="V40" s="163"/>
      <c r="W40" s="163"/>
      <c r="X40" s="163"/>
      <c r="Y40" s="160"/>
      <c r="Z40" s="163"/>
      <c r="AA40" s="163"/>
      <c r="AB40" s="163"/>
      <c r="AC40" s="152"/>
      <c r="AE40" s="148"/>
      <c r="AF40" s="148"/>
      <c r="AG40" s="148"/>
      <c r="AH40" s="78"/>
    </row>
    <row r="41" spans="2:46" ht="18" customHeight="1" thickBot="1" x14ac:dyDescent="0.25">
      <c r="B41" s="145">
        <v>11</v>
      </c>
      <c r="C41" s="158"/>
      <c r="D41" s="152" t="s">
        <v>57</v>
      </c>
      <c r="E41" s="156"/>
      <c r="F41" s="236"/>
      <c r="G41" s="236"/>
      <c r="H41" s="236"/>
      <c r="I41" s="236"/>
      <c r="J41" s="236"/>
      <c r="K41" s="160"/>
      <c r="L41" s="126"/>
      <c r="M41" s="161" t="s">
        <v>47</v>
      </c>
      <c r="N41" s="126"/>
      <c r="O41" s="162"/>
      <c r="P41" s="132"/>
      <c r="Q41" s="160"/>
      <c r="R41" s="236"/>
      <c r="S41" s="236"/>
      <c r="T41" s="236"/>
      <c r="U41" s="162"/>
      <c r="V41" s="236"/>
      <c r="W41" s="236"/>
      <c r="X41" s="236"/>
      <c r="Y41" s="160"/>
      <c r="Z41" s="236"/>
      <c r="AA41" s="236"/>
      <c r="AB41" s="236"/>
      <c r="AC41" s="158"/>
      <c r="AE41" s="148"/>
      <c r="AF41" s="148"/>
      <c r="AG41" s="148"/>
      <c r="AH41" s="78" t="str">
        <f>IF($B41&lt;=入力シート!$F$22,IF(AI41&lt;&gt;"OK",AI41,IF(AJ41&lt;&gt;"OK",AJ41,IF(AK41&lt;&gt;"OK",AK41,IF(AL41&lt;&gt;"OK",AL41,AM41)))),"")</f>
        <v/>
      </c>
      <c r="AI41" s="150" t="str">
        <f ca="1">中間シート!X64</f>
        <v>事業場名を入力してください。</v>
      </c>
      <c r="AJ41" s="145" t="str">
        <f ca="1">中間シート!X65</f>
        <v>郵便番号を入力してください。</v>
      </c>
      <c r="AK41" s="150" t="str">
        <f ca="1">中間シート!X66</f>
        <v>都道府県を選択してください。</v>
      </c>
      <c r="AL41" s="145" t="str">
        <f ca="1">中間シート!X67</f>
        <v>市区町村を入力してください。</v>
      </c>
      <c r="AM41" s="150" t="str">
        <f ca="1">中間シート!X68</f>
        <v>町名地番を入力してください。</v>
      </c>
      <c r="AT41" s="145"/>
    </row>
    <row r="42" spans="2:46" s="150" customFormat="1" ht="5.0999999999999996" customHeight="1" thickBot="1" x14ac:dyDescent="0.25">
      <c r="C42" s="151"/>
      <c r="D42" s="152"/>
      <c r="E42" s="153"/>
      <c r="F42" s="163"/>
      <c r="G42" s="163"/>
      <c r="H42" s="163"/>
      <c r="I42" s="163"/>
      <c r="J42" s="163"/>
      <c r="K42" s="160"/>
      <c r="L42" s="164"/>
      <c r="M42" s="161"/>
      <c r="N42" s="164"/>
      <c r="O42" s="162"/>
      <c r="P42" s="163"/>
      <c r="Q42" s="160"/>
      <c r="R42" s="163"/>
      <c r="S42" s="163"/>
      <c r="T42" s="163"/>
      <c r="U42" s="162"/>
      <c r="V42" s="163"/>
      <c r="W42" s="163"/>
      <c r="X42" s="163"/>
      <c r="Y42" s="160"/>
      <c r="Z42" s="163"/>
      <c r="AA42" s="163"/>
      <c r="AB42" s="163"/>
      <c r="AC42" s="152"/>
      <c r="AE42" s="148"/>
      <c r="AF42" s="148"/>
      <c r="AG42" s="148"/>
      <c r="AH42" s="78"/>
    </row>
    <row r="43" spans="2:46" ht="18" customHeight="1" thickBot="1" x14ac:dyDescent="0.25">
      <c r="B43" s="145">
        <v>12</v>
      </c>
      <c r="C43" s="158"/>
      <c r="D43" s="152" t="s">
        <v>58</v>
      </c>
      <c r="E43" s="156"/>
      <c r="F43" s="236"/>
      <c r="G43" s="236"/>
      <c r="H43" s="236"/>
      <c r="I43" s="236"/>
      <c r="J43" s="236"/>
      <c r="K43" s="160"/>
      <c r="L43" s="126"/>
      <c r="M43" s="161" t="s">
        <v>47</v>
      </c>
      <c r="N43" s="126"/>
      <c r="O43" s="162"/>
      <c r="P43" s="132"/>
      <c r="Q43" s="160"/>
      <c r="R43" s="236"/>
      <c r="S43" s="236"/>
      <c r="T43" s="236"/>
      <c r="U43" s="162"/>
      <c r="V43" s="236"/>
      <c r="W43" s="236"/>
      <c r="X43" s="236"/>
      <c r="Y43" s="160"/>
      <c r="Z43" s="236"/>
      <c r="AA43" s="236"/>
      <c r="AB43" s="236"/>
      <c r="AC43" s="158"/>
      <c r="AE43" s="148"/>
      <c r="AF43" s="148"/>
      <c r="AG43" s="148"/>
      <c r="AH43" s="78" t="str">
        <f>IF($B43&lt;=入力シート!$F$22,IF(AI43&lt;&gt;"OK",AI43,IF(AJ43&lt;&gt;"OK",AJ43,IF(AK43&lt;&gt;"OK",AK43,IF(AL43&lt;&gt;"OK",AL43,AM43)))),"")</f>
        <v/>
      </c>
      <c r="AI43" s="150" t="str">
        <f ca="1">中間シート!X70</f>
        <v>事業場名を入力してください。</v>
      </c>
      <c r="AJ43" s="145" t="str">
        <f ca="1">中間シート!X71</f>
        <v>郵便番号を入力してください。</v>
      </c>
      <c r="AK43" s="150" t="str">
        <f ca="1">中間シート!X72</f>
        <v>都道府県を選択してください。</v>
      </c>
      <c r="AL43" s="145" t="str">
        <f ca="1">中間シート!X73</f>
        <v>市区町村を入力してください。</v>
      </c>
      <c r="AM43" s="150" t="str">
        <f ca="1">中間シート!X74</f>
        <v>町名地番を入力してください。</v>
      </c>
      <c r="AT43" s="145"/>
    </row>
    <row r="44" spans="2:46" s="150" customFormat="1" ht="5.0999999999999996" customHeight="1" thickBot="1" x14ac:dyDescent="0.25">
      <c r="C44" s="151"/>
      <c r="D44" s="152"/>
      <c r="E44" s="153"/>
      <c r="F44" s="163"/>
      <c r="G44" s="163"/>
      <c r="H44" s="163"/>
      <c r="I44" s="163"/>
      <c r="J44" s="163"/>
      <c r="K44" s="160"/>
      <c r="L44" s="164"/>
      <c r="M44" s="161"/>
      <c r="N44" s="164"/>
      <c r="O44" s="162"/>
      <c r="P44" s="163"/>
      <c r="Q44" s="160"/>
      <c r="R44" s="163"/>
      <c r="S44" s="163"/>
      <c r="T44" s="163"/>
      <c r="U44" s="162"/>
      <c r="V44" s="163"/>
      <c r="W44" s="163"/>
      <c r="X44" s="163"/>
      <c r="Y44" s="160"/>
      <c r="Z44" s="163"/>
      <c r="AA44" s="163"/>
      <c r="AB44" s="163"/>
      <c r="AC44" s="152"/>
      <c r="AE44" s="148"/>
      <c r="AF44" s="148"/>
      <c r="AG44" s="148"/>
      <c r="AH44" s="78"/>
    </row>
    <row r="45" spans="2:46" ht="18" customHeight="1" thickBot="1" x14ac:dyDescent="0.25">
      <c r="B45" s="145">
        <v>13</v>
      </c>
      <c r="C45" s="158"/>
      <c r="D45" s="152" t="s">
        <v>59</v>
      </c>
      <c r="E45" s="156"/>
      <c r="F45" s="236"/>
      <c r="G45" s="236"/>
      <c r="H45" s="236"/>
      <c r="I45" s="236"/>
      <c r="J45" s="236"/>
      <c r="K45" s="160"/>
      <c r="L45" s="126"/>
      <c r="M45" s="161" t="s">
        <v>47</v>
      </c>
      <c r="N45" s="126"/>
      <c r="O45" s="162"/>
      <c r="P45" s="132"/>
      <c r="Q45" s="160"/>
      <c r="R45" s="236"/>
      <c r="S45" s="236"/>
      <c r="T45" s="236"/>
      <c r="U45" s="162"/>
      <c r="V45" s="236"/>
      <c r="W45" s="236"/>
      <c r="X45" s="236"/>
      <c r="Y45" s="160"/>
      <c r="Z45" s="236"/>
      <c r="AA45" s="236"/>
      <c r="AB45" s="236"/>
      <c r="AC45" s="158"/>
      <c r="AE45" s="148"/>
      <c r="AF45" s="148"/>
      <c r="AG45" s="148"/>
      <c r="AH45" s="78" t="str">
        <f>IF($B45&lt;=入力シート!$F$22,IF(AI45&lt;&gt;"OK",AI45,IF(AJ45&lt;&gt;"OK",AJ45,IF(AK45&lt;&gt;"OK",AK45,IF(AL45&lt;&gt;"OK",AL45,AM45)))),"")</f>
        <v/>
      </c>
      <c r="AI45" s="150" t="str">
        <f ca="1">中間シート!X76</f>
        <v>事業場名を入力してください。</v>
      </c>
      <c r="AJ45" s="145" t="str">
        <f ca="1">中間シート!X77</f>
        <v>郵便番号を入力してください。</v>
      </c>
      <c r="AK45" s="150" t="str">
        <f ca="1">中間シート!X78</f>
        <v>都道府県を選択してください。</v>
      </c>
      <c r="AL45" s="145" t="str">
        <f ca="1">中間シート!X79</f>
        <v>市区町村を入力してください。</v>
      </c>
      <c r="AM45" s="150" t="str">
        <f ca="1">中間シート!X80</f>
        <v>町名地番を入力してください。</v>
      </c>
      <c r="AT45" s="145"/>
    </row>
    <row r="46" spans="2:46" s="150" customFormat="1" ht="5.0999999999999996" customHeight="1" thickBot="1" x14ac:dyDescent="0.25">
      <c r="C46" s="151"/>
      <c r="D46" s="152"/>
      <c r="E46" s="153"/>
      <c r="F46" s="163"/>
      <c r="G46" s="163"/>
      <c r="H46" s="163"/>
      <c r="I46" s="163"/>
      <c r="J46" s="163"/>
      <c r="K46" s="160"/>
      <c r="L46" s="164"/>
      <c r="M46" s="161"/>
      <c r="N46" s="164"/>
      <c r="O46" s="162"/>
      <c r="P46" s="163"/>
      <c r="Q46" s="160"/>
      <c r="R46" s="163"/>
      <c r="S46" s="163"/>
      <c r="T46" s="163"/>
      <c r="U46" s="162"/>
      <c r="V46" s="163"/>
      <c r="W46" s="163"/>
      <c r="X46" s="163"/>
      <c r="Y46" s="160"/>
      <c r="Z46" s="163"/>
      <c r="AA46" s="163"/>
      <c r="AB46" s="163"/>
      <c r="AC46" s="152"/>
      <c r="AE46" s="148"/>
      <c r="AF46" s="148"/>
      <c r="AG46" s="148"/>
      <c r="AH46" s="78"/>
    </row>
    <row r="47" spans="2:46" ht="18" customHeight="1" thickBot="1" x14ac:dyDescent="0.25">
      <c r="B47" s="145">
        <v>14</v>
      </c>
      <c r="C47" s="158"/>
      <c r="D47" s="152" t="s">
        <v>60</v>
      </c>
      <c r="E47" s="156"/>
      <c r="F47" s="236"/>
      <c r="G47" s="236"/>
      <c r="H47" s="236"/>
      <c r="I47" s="236"/>
      <c r="J47" s="236"/>
      <c r="K47" s="160"/>
      <c r="L47" s="126"/>
      <c r="M47" s="161" t="s">
        <v>47</v>
      </c>
      <c r="N47" s="126"/>
      <c r="O47" s="162"/>
      <c r="P47" s="132"/>
      <c r="Q47" s="160"/>
      <c r="R47" s="236"/>
      <c r="S47" s="236"/>
      <c r="T47" s="236"/>
      <c r="U47" s="162"/>
      <c r="V47" s="236"/>
      <c r="W47" s="236"/>
      <c r="X47" s="236"/>
      <c r="Y47" s="160"/>
      <c r="Z47" s="236"/>
      <c r="AA47" s="236"/>
      <c r="AB47" s="236"/>
      <c r="AC47" s="158"/>
      <c r="AE47" s="148"/>
      <c r="AF47" s="148"/>
      <c r="AG47" s="148"/>
      <c r="AH47" s="78" t="str">
        <f>IF($B47&lt;=入力シート!$F$22,IF(AI47&lt;&gt;"OK",AI47,IF(AJ47&lt;&gt;"OK",AJ47,IF(AK47&lt;&gt;"OK",AK47,IF(AL47&lt;&gt;"OK",AL47,AM47)))),"")</f>
        <v/>
      </c>
      <c r="AI47" s="150" t="str">
        <f ca="1">中間シート!X82</f>
        <v>事業場名を入力してください。</v>
      </c>
      <c r="AJ47" s="145" t="str">
        <f ca="1">中間シート!X83</f>
        <v>郵便番号を入力してください。</v>
      </c>
      <c r="AK47" s="150" t="str">
        <f ca="1">中間シート!X84</f>
        <v>都道府県を選択してください。</v>
      </c>
      <c r="AL47" s="145" t="str">
        <f ca="1">中間シート!X85</f>
        <v>市区町村を入力してください。</v>
      </c>
      <c r="AM47" s="150" t="str">
        <f ca="1">中間シート!X86</f>
        <v>町名地番を入力してください。</v>
      </c>
      <c r="AT47" s="145"/>
    </row>
    <row r="48" spans="2:46" s="150" customFormat="1" ht="5.0999999999999996" customHeight="1" thickBot="1" x14ac:dyDescent="0.25">
      <c r="C48" s="151"/>
      <c r="D48" s="152"/>
      <c r="E48" s="153"/>
      <c r="F48" s="163"/>
      <c r="G48" s="163"/>
      <c r="H48" s="163"/>
      <c r="I48" s="163"/>
      <c r="J48" s="163"/>
      <c r="K48" s="160"/>
      <c r="L48" s="164"/>
      <c r="M48" s="161"/>
      <c r="N48" s="164"/>
      <c r="O48" s="162"/>
      <c r="P48" s="163"/>
      <c r="Q48" s="160"/>
      <c r="R48" s="163"/>
      <c r="S48" s="163"/>
      <c r="T48" s="163"/>
      <c r="U48" s="162"/>
      <c r="V48" s="163"/>
      <c r="W48" s="163"/>
      <c r="X48" s="163"/>
      <c r="Y48" s="160"/>
      <c r="Z48" s="163"/>
      <c r="AA48" s="163"/>
      <c r="AB48" s="163"/>
      <c r="AC48" s="152"/>
      <c r="AE48" s="148"/>
      <c r="AF48" s="148"/>
      <c r="AG48" s="148"/>
      <c r="AH48" s="78"/>
    </row>
    <row r="49" spans="2:46" ht="18" customHeight="1" thickBot="1" x14ac:dyDescent="0.25">
      <c r="B49" s="145">
        <v>15</v>
      </c>
      <c r="C49" s="158"/>
      <c r="D49" s="152" t="s">
        <v>61</v>
      </c>
      <c r="E49" s="156"/>
      <c r="F49" s="236"/>
      <c r="G49" s="236"/>
      <c r="H49" s="236"/>
      <c r="I49" s="236"/>
      <c r="J49" s="236"/>
      <c r="K49" s="160"/>
      <c r="L49" s="126"/>
      <c r="M49" s="161" t="s">
        <v>47</v>
      </c>
      <c r="N49" s="126"/>
      <c r="O49" s="162"/>
      <c r="P49" s="132"/>
      <c r="Q49" s="160"/>
      <c r="R49" s="236"/>
      <c r="S49" s="236"/>
      <c r="T49" s="236"/>
      <c r="U49" s="162"/>
      <c r="V49" s="236"/>
      <c r="W49" s="236"/>
      <c r="X49" s="236"/>
      <c r="Y49" s="160"/>
      <c r="Z49" s="236"/>
      <c r="AA49" s="236"/>
      <c r="AB49" s="236"/>
      <c r="AC49" s="158"/>
      <c r="AE49" s="148"/>
      <c r="AF49" s="148"/>
      <c r="AG49" s="148"/>
      <c r="AH49" s="78" t="str">
        <f>IF($B49&lt;=入力シート!$F$22,IF(AI49&lt;&gt;"OK",AI49,IF(AJ49&lt;&gt;"OK",AJ49,IF(AK49&lt;&gt;"OK",AK49,IF(AL49&lt;&gt;"OK",AL49,AM49)))),"")</f>
        <v/>
      </c>
      <c r="AI49" s="150" t="str">
        <f ca="1">中間シート!X88</f>
        <v>事業場名を入力してください。</v>
      </c>
      <c r="AJ49" s="145" t="str">
        <f ca="1">中間シート!X89</f>
        <v>郵便番号を入力してください。</v>
      </c>
      <c r="AK49" s="150" t="str">
        <f ca="1">中間シート!X90</f>
        <v>都道府県を選択してください。</v>
      </c>
      <c r="AL49" s="145" t="str">
        <f ca="1">中間シート!X91</f>
        <v>市区町村を入力してください。</v>
      </c>
      <c r="AM49" s="150" t="str">
        <f ca="1">中間シート!X92</f>
        <v>町名地番を入力してください。</v>
      </c>
      <c r="AT49" s="145"/>
    </row>
    <row r="50" spans="2:46" s="150" customFormat="1" ht="5.0999999999999996" customHeight="1" thickBot="1" x14ac:dyDescent="0.25">
      <c r="C50" s="151"/>
      <c r="D50" s="152"/>
      <c r="E50" s="153"/>
      <c r="F50" s="163"/>
      <c r="G50" s="163"/>
      <c r="H50" s="163"/>
      <c r="I50" s="163"/>
      <c r="J50" s="163"/>
      <c r="K50" s="160"/>
      <c r="L50" s="164"/>
      <c r="M50" s="161"/>
      <c r="N50" s="164"/>
      <c r="O50" s="162"/>
      <c r="P50" s="163"/>
      <c r="Q50" s="160"/>
      <c r="R50" s="163"/>
      <c r="S50" s="163"/>
      <c r="T50" s="163"/>
      <c r="U50" s="162"/>
      <c r="V50" s="163"/>
      <c r="W50" s="163"/>
      <c r="X50" s="163"/>
      <c r="Y50" s="160"/>
      <c r="Z50" s="163"/>
      <c r="AA50" s="163"/>
      <c r="AB50" s="163"/>
      <c r="AC50" s="152"/>
      <c r="AE50" s="148"/>
      <c r="AF50" s="148"/>
      <c r="AG50" s="148"/>
      <c r="AH50" s="78"/>
    </row>
    <row r="51" spans="2:46" ht="18" customHeight="1" thickBot="1" x14ac:dyDescent="0.25">
      <c r="B51" s="145">
        <v>16</v>
      </c>
      <c r="C51" s="158"/>
      <c r="D51" s="152" t="s">
        <v>62</v>
      </c>
      <c r="E51" s="156"/>
      <c r="F51" s="236"/>
      <c r="G51" s="236"/>
      <c r="H51" s="236"/>
      <c r="I51" s="236"/>
      <c r="J51" s="236"/>
      <c r="K51" s="160"/>
      <c r="L51" s="126"/>
      <c r="M51" s="161" t="s">
        <v>47</v>
      </c>
      <c r="N51" s="126"/>
      <c r="O51" s="162"/>
      <c r="P51" s="132"/>
      <c r="Q51" s="160"/>
      <c r="R51" s="236"/>
      <c r="S51" s="236"/>
      <c r="T51" s="236"/>
      <c r="U51" s="162"/>
      <c r="V51" s="236"/>
      <c r="W51" s="236"/>
      <c r="X51" s="236"/>
      <c r="Y51" s="160"/>
      <c r="Z51" s="236"/>
      <c r="AA51" s="236"/>
      <c r="AB51" s="236"/>
      <c r="AC51" s="158"/>
      <c r="AE51" s="148"/>
      <c r="AF51" s="148"/>
      <c r="AG51" s="148"/>
      <c r="AH51" s="78" t="str">
        <f>IF($B51&lt;=入力シート!$F$22,IF(AI51&lt;&gt;"OK",AI51,IF(AJ51&lt;&gt;"OK",AJ51,IF(AK51&lt;&gt;"OK",AK51,IF(AL51&lt;&gt;"OK",AL51,AM51)))),"")</f>
        <v/>
      </c>
      <c r="AI51" s="150" t="str">
        <f ca="1">中間シート!X94</f>
        <v>事業場名を入力してください。</v>
      </c>
      <c r="AJ51" s="145" t="str">
        <f ca="1">中間シート!X95</f>
        <v>郵便番号を入力してください。</v>
      </c>
      <c r="AK51" s="150" t="str">
        <f ca="1">中間シート!X96</f>
        <v>都道府県を選択してください。</v>
      </c>
      <c r="AL51" s="145" t="str">
        <f ca="1">中間シート!X97</f>
        <v>市区町村を入力してください。</v>
      </c>
      <c r="AM51" s="150" t="str">
        <f ca="1">中間シート!X98</f>
        <v>町名地番を入力してください。</v>
      </c>
      <c r="AT51" s="145"/>
    </row>
    <row r="52" spans="2:46" s="150" customFormat="1" ht="5.0999999999999996" customHeight="1" thickBot="1" x14ac:dyDescent="0.25">
      <c r="C52" s="151"/>
      <c r="D52" s="152"/>
      <c r="E52" s="153"/>
      <c r="F52" s="163"/>
      <c r="G52" s="163"/>
      <c r="H52" s="163"/>
      <c r="I52" s="163"/>
      <c r="J52" s="163"/>
      <c r="K52" s="160"/>
      <c r="L52" s="164"/>
      <c r="M52" s="161"/>
      <c r="N52" s="164"/>
      <c r="O52" s="162"/>
      <c r="P52" s="163"/>
      <c r="Q52" s="160"/>
      <c r="R52" s="163"/>
      <c r="S52" s="163"/>
      <c r="T52" s="163"/>
      <c r="U52" s="162"/>
      <c r="V52" s="163"/>
      <c r="W52" s="163"/>
      <c r="X52" s="163"/>
      <c r="Y52" s="160"/>
      <c r="Z52" s="163"/>
      <c r="AA52" s="163"/>
      <c r="AB52" s="163"/>
      <c r="AC52" s="152"/>
      <c r="AE52" s="148"/>
      <c r="AF52" s="148"/>
      <c r="AG52" s="148"/>
      <c r="AH52" s="78"/>
    </row>
    <row r="53" spans="2:46" ht="18" customHeight="1" thickBot="1" x14ac:dyDescent="0.25">
      <c r="B53" s="145">
        <v>17</v>
      </c>
      <c r="C53" s="158"/>
      <c r="D53" s="152" t="s">
        <v>63</v>
      </c>
      <c r="E53" s="156"/>
      <c r="F53" s="236"/>
      <c r="G53" s="236"/>
      <c r="H53" s="236"/>
      <c r="I53" s="236"/>
      <c r="J53" s="236"/>
      <c r="K53" s="160"/>
      <c r="L53" s="126"/>
      <c r="M53" s="161" t="s">
        <v>47</v>
      </c>
      <c r="N53" s="126"/>
      <c r="O53" s="162"/>
      <c r="P53" s="132"/>
      <c r="Q53" s="160"/>
      <c r="R53" s="236"/>
      <c r="S53" s="236"/>
      <c r="T53" s="236"/>
      <c r="U53" s="162"/>
      <c r="V53" s="236"/>
      <c r="W53" s="236"/>
      <c r="X53" s="236"/>
      <c r="Y53" s="160"/>
      <c r="Z53" s="236"/>
      <c r="AA53" s="236"/>
      <c r="AB53" s="236"/>
      <c r="AC53" s="158"/>
      <c r="AE53" s="148"/>
      <c r="AF53" s="148"/>
      <c r="AG53" s="148"/>
      <c r="AH53" s="78" t="str">
        <f>IF($B53&lt;=入力シート!$F$22,IF(AI53&lt;&gt;"OK",AI53,IF(AJ53&lt;&gt;"OK",AJ53,IF(AK53&lt;&gt;"OK",AK53,IF(AL53&lt;&gt;"OK",AL53,AM53)))),"")</f>
        <v/>
      </c>
      <c r="AI53" s="150" t="str">
        <f ca="1">中間シート!X100</f>
        <v>事業場名を入力してください。</v>
      </c>
      <c r="AJ53" s="145" t="str">
        <f ca="1">中間シート!X101</f>
        <v>郵便番号を入力してください。</v>
      </c>
      <c r="AK53" s="150" t="str">
        <f ca="1">中間シート!X102</f>
        <v>都道府県を選択してください。</v>
      </c>
      <c r="AL53" s="145" t="str">
        <f ca="1">中間シート!X103</f>
        <v>市区町村を入力してください。</v>
      </c>
      <c r="AM53" s="150" t="str">
        <f ca="1">中間シート!X104</f>
        <v>町名地番を入力してください。</v>
      </c>
      <c r="AT53" s="145"/>
    </row>
    <row r="54" spans="2:46" s="150" customFormat="1" ht="5.0999999999999996" customHeight="1" thickBot="1" x14ac:dyDescent="0.25">
      <c r="C54" s="151"/>
      <c r="D54" s="152"/>
      <c r="E54" s="153"/>
      <c r="F54" s="163"/>
      <c r="G54" s="163"/>
      <c r="H54" s="163"/>
      <c r="I54" s="163"/>
      <c r="J54" s="163"/>
      <c r="K54" s="160"/>
      <c r="L54" s="164"/>
      <c r="M54" s="161"/>
      <c r="N54" s="164"/>
      <c r="O54" s="162"/>
      <c r="P54" s="163"/>
      <c r="Q54" s="160"/>
      <c r="R54" s="163"/>
      <c r="S54" s="163"/>
      <c r="T54" s="163"/>
      <c r="U54" s="162"/>
      <c r="V54" s="163"/>
      <c r="W54" s="163"/>
      <c r="X54" s="163"/>
      <c r="Y54" s="160"/>
      <c r="Z54" s="163"/>
      <c r="AA54" s="163"/>
      <c r="AB54" s="163"/>
      <c r="AC54" s="152"/>
      <c r="AE54" s="148"/>
      <c r="AF54" s="148"/>
      <c r="AG54" s="148"/>
      <c r="AH54" s="78"/>
    </row>
    <row r="55" spans="2:46" ht="18" customHeight="1" thickBot="1" x14ac:dyDescent="0.25">
      <c r="B55" s="145">
        <v>18</v>
      </c>
      <c r="C55" s="158"/>
      <c r="D55" s="152" t="s">
        <v>64</v>
      </c>
      <c r="E55" s="156"/>
      <c r="F55" s="236"/>
      <c r="G55" s="236"/>
      <c r="H55" s="236"/>
      <c r="I55" s="236"/>
      <c r="J55" s="236"/>
      <c r="K55" s="160"/>
      <c r="L55" s="126"/>
      <c r="M55" s="161" t="s">
        <v>47</v>
      </c>
      <c r="N55" s="126"/>
      <c r="O55" s="162"/>
      <c r="P55" s="132"/>
      <c r="Q55" s="160"/>
      <c r="R55" s="236"/>
      <c r="S55" s="236"/>
      <c r="T55" s="236"/>
      <c r="U55" s="162"/>
      <c r="V55" s="236"/>
      <c r="W55" s="236"/>
      <c r="X55" s="236"/>
      <c r="Y55" s="160"/>
      <c r="Z55" s="236"/>
      <c r="AA55" s="236"/>
      <c r="AB55" s="236"/>
      <c r="AC55" s="158"/>
      <c r="AE55" s="148"/>
      <c r="AF55" s="148"/>
      <c r="AG55" s="148"/>
      <c r="AH55" s="78" t="str">
        <f>IF($B55&lt;=入力シート!$F$22,IF(AI55&lt;&gt;"OK",AI55,IF(AJ55&lt;&gt;"OK",AJ55,IF(AK55&lt;&gt;"OK",AK55,IF(AL55&lt;&gt;"OK",AL55,AM55)))),"")</f>
        <v/>
      </c>
      <c r="AI55" s="150" t="str">
        <f ca="1">中間シート!X106</f>
        <v>事業場名を入力してください。</v>
      </c>
      <c r="AJ55" s="145" t="str">
        <f ca="1">中間シート!X107</f>
        <v>郵便番号を入力してください。</v>
      </c>
      <c r="AK55" s="150" t="str">
        <f ca="1">中間シート!X108</f>
        <v>都道府県を選択してください。</v>
      </c>
      <c r="AL55" s="145" t="str">
        <f ca="1">中間シート!X109</f>
        <v>市区町村を入力してください。</v>
      </c>
      <c r="AM55" s="150" t="str">
        <f ca="1">中間シート!X110</f>
        <v>町名地番を入力してください。</v>
      </c>
      <c r="AT55" s="145"/>
    </row>
    <row r="56" spans="2:46" s="150" customFormat="1" ht="5.0999999999999996" customHeight="1" thickBot="1" x14ac:dyDescent="0.25">
      <c r="C56" s="151"/>
      <c r="D56" s="152"/>
      <c r="E56" s="153"/>
      <c r="F56" s="163"/>
      <c r="G56" s="163"/>
      <c r="H56" s="163"/>
      <c r="I56" s="163"/>
      <c r="J56" s="163"/>
      <c r="K56" s="160"/>
      <c r="L56" s="164"/>
      <c r="M56" s="161"/>
      <c r="N56" s="164"/>
      <c r="O56" s="162"/>
      <c r="P56" s="163"/>
      <c r="Q56" s="160"/>
      <c r="R56" s="163"/>
      <c r="S56" s="163"/>
      <c r="T56" s="163"/>
      <c r="U56" s="162"/>
      <c r="V56" s="163"/>
      <c r="W56" s="163"/>
      <c r="X56" s="163"/>
      <c r="Y56" s="160"/>
      <c r="Z56" s="163"/>
      <c r="AA56" s="163"/>
      <c r="AB56" s="163"/>
      <c r="AC56" s="152"/>
      <c r="AE56" s="148"/>
      <c r="AF56" s="148"/>
      <c r="AG56" s="148"/>
      <c r="AH56" s="78"/>
    </row>
    <row r="57" spans="2:46" ht="18" customHeight="1" thickBot="1" x14ac:dyDescent="0.25">
      <c r="B57" s="145">
        <v>19</v>
      </c>
      <c r="C57" s="158"/>
      <c r="D57" s="152" t="s">
        <v>65</v>
      </c>
      <c r="E57" s="156"/>
      <c r="F57" s="236"/>
      <c r="G57" s="236"/>
      <c r="H57" s="236"/>
      <c r="I57" s="236"/>
      <c r="J57" s="236"/>
      <c r="K57" s="160"/>
      <c r="L57" s="126"/>
      <c r="M57" s="161" t="s">
        <v>47</v>
      </c>
      <c r="N57" s="126"/>
      <c r="O57" s="162"/>
      <c r="P57" s="132"/>
      <c r="Q57" s="160"/>
      <c r="R57" s="236"/>
      <c r="S57" s="236"/>
      <c r="T57" s="236"/>
      <c r="U57" s="162"/>
      <c r="V57" s="236"/>
      <c r="W57" s="236"/>
      <c r="X57" s="236"/>
      <c r="Y57" s="160"/>
      <c r="Z57" s="236"/>
      <c r="AA57" s="236"/>
      <c r="AB57" s="236"/>
      <c r="AC57" s="158"/>
      <c r="AE57" s="148"/>
      <c r="AF57" s="148"/>
      <c r="AG57" s="148"/>
      <c r="AH57" s="78" t="str">
        <f>IF($B57&lt;=入力シート!$F$22,IF(AI57&lt;&gt;"OK",AI57,IF(AJ57&lt;&gt;"OK",AJ57,IF(AK57&lt;&gt;"OK",AK57,IF(AL57&lt;&gt;"OK",AL57,AM57)))),"")</f>
        <v/>
      </c>
      <c r="AI57" s="150" t="str">
        <f ca="1">中間シート!X112</f>
        <v>事業場名を入力してください。</v>
      </c>
      <c r="AJ57" s="145" t="str">
        <f ca="1">中間シート!X113</f>
        <v>郵便番号を入力してください。</v>
      </c>
      <c r="AK57" s="150" t="str">
        <f ca="1">中間シート!X114</f>
        <v>都道府県を選択してください。</v>
      </c>
      <c r="AL57" s="145" t="str">
        <f ca="1">中間シート!X115</f>
        <v>市区町村を入力してください。</v>
      </c>
      <c r="AM57" s="150" t="str">
        <f ca="1">中間シート!X116</f>
        <v>町名地番を入力してください。</v>
      </c>
      <c r="AT57" s="145"/>
    </row>
    <row r="58" spans="2:46" s="150" customFormat="1" ht="5.0999999999999996" customHeight="1" thickBot="1" x14ac:dyDescent="0.25">
      <c r="C58" s="151"/>
      <c r="D58" s="152"/>
      <c r="E58" s="153"/>
      <c r="F58" s="163"/>
      <c r="G58" s="163"/>
      <c r="H58" s="163"/>
      <c r="I58" s="163"/>
      <c r="J58" s="163"/>
      <c r="K58" s="160"/>
      <c r="L58" s="164"/>
      <c r="M58" s="161"/>
      <c r="N58" s="164"/>
      <c r="O58" s="162"/>
      <c r="P58" s="163"/>
      <c r="Q58" s="160"/>
      <c r="R58" s="163"/>
      <c r="S58" s="163"/>
      <c r="T58" s="163"/>
      <c r="U58" s="162"/>
      <c r="V58" s="163"/>
      <c r="W58" s="163"/>
      <c r="X58" s="163"/>
      <c r="Y58" s="160"/>
      <c r="Z58" s="163"/>
      <c r="AA58" s="163"/>
      <c r="AB58" s="163"/>
      <c r="AC58" s="152"/>
      <c r="AE58" s="148"/>
      <c r="AF58" s="148"/>
      <c r="AG58" s="148"/>
      <c r="AH58" s="78"/>
    </row>
    <row r="59" spans="2:46" ht="18" customHeight="1" thickBot="1" x14ac:dyDescent="0.25">
      <c r="B59" s="145">
        <v>20</v>
      </c>
      <c r="C59" s="158"/>
      <c r="D59" s="152" t="s">
        <v>66</v>
      </c>
      <c r="E59" s="156"/>
      <c r="F59" s="236"/>
      <c r="G59" s="236"/>
      <c r="H59" s="236"/>
      <c r="I59" s="236"/>
      <c r="J59" s="236"/>
      <c r="K59" s="160"/>
      <c r="L59" s="126"/>
      <c r="M59" s="161" t="s">
        <v>47</v>
      </c>
      <c r="N59" s="126"/>
      <c r="O59" s="162"/>
      <c r="P59" s="132"/>
      <c r="Q59" s="160"/>
      <c r="R59" s="236"/>
      <c r="S59" s="236"/>
      <c r="T59" s="236"/>
      <c r="U59" s="162"/>
      <c r="V59" s="236"/>
      <c r="W59" s="236"/>
      <c r="X59" s="236"/>
      <c r="Y59" s="160"/>
      <c r="Z59" s="236"/>
      <c r="AA59" s="236"/>
      <c r="AB59" s="236"/>
      <c r="AC59" s="158"/>
      <c r="AE59" s="148"/>
      <c r="AF59" s="148"/>
      <c r="AG59" s="148"/>
      <c r="AH59" s="78" t="str">
        <f>IF($B59&lt;=入力シート!$F$22,IF(AI59&lt;&gt;"OK",AI59,IF(AJ59&lt;&gt;"OK",AJ59,IF(AK59&lt;&gt;"OK",AK59,IF(AL59&lt;&gt;"OK",AL59,AM59)))),"")</f>
        <v/>
      </c>
      <c r="AI59" s="150" t="str">
        <f ca="1">中間シート!X118</f>
        <v>事業場名を入力してください。</v>
      </c>
      <c r="AJ59" s="145" t="str">
        <f ca="1">中間シート!X119</f>
        <v>郵便番号を入力してください。</v>
      </c>
      <c r="AK59" s="150" t="str">
        <f ca="1">中間シート!X120</f>
        <v>都道府県を選択してください。</v>
      </c>
      <c r="AL59" s="145" t="str">
        <f ca="1">中間シート!X121</f>
        <v>市区町村を入力してください。</v>
      </c>
      <c r="AM59" s="150" t="str">
        <f ca="1">中間シート!X122</f>
        <v>町名地番を入力してください。</v>
      </c>
      <c r="AT59" s="145"/>
    </row>
    <row r="60" spans="2:46" s="150" customFormat="1" ht="5.0999999999999996" customHeight="1" thickBot="1" x14ac:dyDescent="0.25">
      <c r="C60" s="151"/>
      <c r="D60" s="152"/>
      <c r="E60" s="153"/>
      <c r="F60" s="163"/>
      <c r="G60" s="163"/>
      <c r="H60" s="163"/>
      <c r="I60" s="163"/>
      <c r="J60" s="163"/>
      <c r="K60" s="160"/>
      <c r="L60" s="164"/>
      <c r="M60" s="161"/>
      <c r="N60" s="164"/>
      <c r="O60" s="162"/>
      <c r="P60" s="163"/>
      <c r="Q60" s="160"/>
      <c r="R60" s="163"/>
      <c r="S60" s="163"/>
      <c r="T60" s="163"/>
      <c r="U60" s="162"/>
      <c r="V60" s="163"/>
      <c r="W60" s="163"/>
      <c r="X60" s="163"/>
      <c r="Y60" s="160"/>
      <c r="Z60" s="163"/>
      <c r="AA60" s="163"/>
      <c r="AB60" s="163"/>
      <c r="AC60" s="152"/>
      <c r="AE60" s="148"/>
      <c r="AF60" s="148"/>
      <c r="AG60" s="148"/>
      <c r="AH60" s="78"/>
    </row>
    <row r="61" spans="2:46" ht="18" customHeight="1" thickBot="1" x14ac:dyDescent="0.25">
      <c r="B61" s="145">
        <v>21</v>
      </c>
      <c r="C61" s="158"/>
      <c r="D61" s="152" t="s">
        <v>67</v>
      </c>
      <c r="E61" s="156"/>
      <c r="F61" s="236"/>
      <c r="G61" s="236"/>
      <c r="H61" s="236"/>
      <c r="I61" s="236"/>
      <c r="J61" s="236"/>
      <c r="K61" s="160"/>
      <c r="L61" s="126"/>
      <c r="M61" s="161" t="s">
        <v>47</v>
      </c>
      <c r="N61" s="126"/>
      <c r="O61" s="162"/>
      <c r="P61" s="132"/>
      <c r="Q61" s="160"/>
      <c r="R61" s="236"/>
      <c r="S61" s="236"/>
      <c r="T61" s="236"/>
      <c r="U61" s="162"/>
      <c r="V61" s="236"/>
      <c r="W61" s="236"/>
      <c r="X61" s="236"/>
      <c r="Y61" s="160"/>
      <c r="Z61" s="236"/>
      <c r="AA61" s="236"/>
      <c r="AB61" s="236"/>
      <c r="AC61" s="158"/>
      <c r="AE61" s="148"/>
      <c r="AF61" s="148"/>
      <c r="AG61" s="148"/>
      <c r="AH61" s="78" t="str">
        <f>IF($B61&lt;=入力シート!$F$22,IF(AI61&lt;&gt;"OK",AI61,IF(AJ61&lt;&gt;"OK",AJ61,IF(AK61&lt;&gt;"OK",AK61,IF(AL61&lt;&gt;"OK",AL61,AM61)))),"")</f>
        <v/>
      </c>
      <c r="AI61" s="150" t="str">
        <f ca="1">中間シート!X124</f>
        <v>事業場名を入力してください。</v>
      </c>
      <c r="AJ61" s="145" t="str">
        <f ca="1">中間シート!X125</f>
        <v>郵便番号を入力してください。</v>
      </c>
      <c r="AK61" s="150" t="str">
        <f ca="1">中間シート!X126</f>
        <v>都道府県を選択してください。</v>
      </c>
      <c r="AL61" s="145" t="str">
        <f ca="1">中間シート!X127</f>
        <v>市区町村を入力してください。</v>
      </c>
      <c r="AM61" s="150" t="str">
        <f ca="1">中間シート!X128</f>
        <v>町名地番を入力してください。</v>
      </c>
      <c r="AT61" s="145"/>
    </row>
    <row r="62" spans="2:46" s="150" customFormat="1" ht="5.0999999999999996" customHeight="1" thickBot="1" x14ac:dyDescent="0.25">
      <c r="C62" s="151"/>
      <c r="D62" s="152"/>
      <c r="E62" s="153"/>
      <c r="F62" s="163"/>
      <c r="G62" s="163"/>
      <c r="H62" s="163"/>
      <c r="I62" s="163"/>
      <c r="J62" s="163"/>
      <c r="K62" s="160"/>
      <c r="L62" s="164"/>
      <c r="M62" s="161"/>
      <c r="N62" s="164"/>
      <c r="O62" s="162"/>
      <c r="P62" s="163"/>
      <c r="Q62" s="160"/>
      <c r="R62" s="163"/>
      <c r="S62" s="163"/>
      <c r="T62" s="163"/>
      <c r="U62" s="162"/>
      <c r="V62" s="163"/>
      <c r="W62" s="163"/>
      <c r="X62" s="163"/>
      <c r="Y62" s="160"/>
      <c r="Z62" s="163"/>
      <c r="AA62" s="163"/>
      <c r="AB62" s="163"/>
      <c r="AC62" s="152"/>
      <c r="AE62" s="148"/>
      <c r="AF62" s="148"/>
      <c r="AG62" s="148"/>
      <c r="AH62" s="78"/>
    </row>
    <row r="63" spans="2:46" ht="18" customHeight="1" thickBot="1" x14ac:dyDescent="0.25">
      <c r="B63" s="145">
        <v>22</v>
      </c>
      <c r="C63" s="158"/>
      <c r="D63" s="152" t="s">
        <v>68</v>
      </c>
      <c r="E63" s="156"/>
      <c r="F63" s="236"/>
      <c r="G63" s="236"/>
      <c r="H63" s="236"/>
      <c r="I63" s="236"/>
      <c r="J63" s="236"/>
      <c r="K63" s="160"/>
      <c r="L63" s="126"/>
      <c r="M63" s="161" t="s">
        <v>47</v>
      </c>
      <c r="N63" s="126"/>
      <c r="O63" s="162"/>
      <c r="P63" s="132"/>
      <c r="Q63" s="160"/>
      <c r="R63" s="236"/>
      <c r="S63" s="236"/>
      <c r="T63" s="236"/>
      <c r="U63" s="162"/>
      <c r="V63" s="236"/>
      <c r="W63" s="236"/>
      <c r="X63" s="236"/>
      <c r="Y63" s="160"/>
      <c r="Z63" s="236"/>
      <c r="AA63" s="236"/>
      <c r="AB63" s="236"/>
      <c r="AC63" s="158"/>
      <c r="AE63" s="148"/>
      <c r="AF63" s="148"/>
      <c r="AG63" s="148"/>
      <c r="AH63" s="78" t="str">
        <f>IF($B63&lt;=入力シート!$F$22,IF(AI63&lt;&gt;"OK",AI63,IF(AJ63&lt;&gt;"OK",AJ63,IF(AK63&lt;&gt;"OK",AK63,IF(AL63&lt;&gt;"OK",AL63,AM63)))),"")</f>
        <v/>
      </c>
      <c r="AI63" s="150" t="str">
        <f ca="1">中間シート!X130</f>
        <v>事業場名を入力してください。</v>
      </c>
      <c r="AJ63" s="145" t="str">
        <f ca="1">中間シート!X131</f>
        <v>郵便番号を入力してください。</v>
      </c>
      <c r="AK63" s="150" t="str">
        <f ca="1">中間シート!X132</f>
        <v>都道府県を選択してください。</v>
      </c>
      <c r="AL63" s="145" t="str">
        <f ca="1">中間シート!X133</f>
        <v>市区町村を入力してください。</v>
      </c>
      <c r="AM63" s="150" t="str">
        <f ca="1">中間シート!X134</f>
        <v>町名地番を入力してください。</v>
      </c>
      <c r="AT63" s="145"/>
    </row>
    <row r="64" spans="2:46" s="150" customFormat="1" ht="5.0999999999999996" customHeight="1" thickBot="1" x14ac:dyDescent="0.25">
      <c r="C64" s="151"/>
      <c r="D64" s="152"/>
      <c r="E64" s="153"/>
      <c r="F64" s="163"/>
      <c r="G64" s="163"/>
      <c r="H64" s="163"/>
      <c r="I64" s="163"/>
      <c r="J64" s="163"/>
      <c r="K64" s="160"/>
      <c r="L64" s="164"/>
      <c r="M64" s="161"/>
      <c r="N64" s="164"/>
      <c r="O64" s="162"/>
      <c r="P64" s="163"/>
      <c r="Q64" s="160"/>
      <c r="R64" s="163"/>
      <c r="S64" s="163"/>
      <c r="T64" s="163"/>
      <c r="U64" s="162"/>
      <c r="V64" s="163"/>
      <c r="W64" s="163"/>
      <c r="X64" s="163"/>
      <c r="Y64" s="160"/>
      <c r="Z64" s="163"/>
      <c r="AA64" s="163"/>
      <c r="AB64" s="163"/>
      <c r="AC64" s="152"/>
      <c r="AE64" s="148"/>
      <c r="AF64" s="148"/>
      <c r="AG64" s="148"/>
      <c r="AH64" s="78"/>
    </row>
    <row r="65" spans="2:46" ht="18" customHeight="1" thickBot="1" x14ac:dyDescent="0.25">
      <c r="B65" s="145">
        <v>23</v>
      </c>
      <c r="C65" s="158"/>
      <c r="D65" s="152" t="s">
        <v>69</v>
      </c>
      <c r="E65" s="156"/>
      <c r="F65" s="236"/>
      <c r="G65" s="236"/>
      <c r="H65" s="236"/>
      <c r="I65" s="236"/>
      <c r="J65" s="236"/>
      <c r="K65" s="160"/>
      <c r="L65" s="126"/>
      <c r="M65" s="161" t="s">
        <v>47</v>
      </c>
      <c r="N65" s="126"/>
      <c r="O65" s="162"/>
      <c r="P65" s="132"/>
      <c r="Q65" s="160"/>
      <c r="R65" s="236"/>
      <c r="S65" s="236"/>
      <c r="T65" s="236"/>
      <c r="U65" s="162"/>
      <c r="V65" s="236"/>
      <c r="W65" s="236"/>
      <c r="X65" s="236"/>
      <c r="Y65" s="160"/>
      <c r="Z65" s="236"/>
      <c r="AA65" s="236"/>
      <c r="AB65" s="236"/>
      <c r="AC65" s="158"/>
      <c r="AE65" s="148"/>
      <c r="AF65" s="148"/>
      <c r="AG65" s="148"/>
      <c r="AH65" s="78" t="str">
        <f>IF($B65&lt;=入力シート!$F$22,IF(AI65&lt;&gt;"OK",AI65,IF(AJ65&lt;&gt;"OK",AJ65,IF(AK65&lt;&gt;"OK",AK65,IF(AL65&lt;&gt;"OK",AL65,AM65)))),"")</f>
        <v/>
      </c>
      <c r="AI65" s="150" t="str">
        <f ca="1">中間シート!X136</f>
        <v>事業場名を入力してください。</v>
      </c>
      <c r="AJ65" s="145" t="str">
        <f ca="1">中間シート!X137</f>
        <v>郵便番号を入力してください。</v>
      </c>
      <c r="AK65" s="150" t="str">
        <f ca="1">中間シート!X138</f>
        <v>都道府県を選択してください。</v>
      </c>
      <c r="AL65" s="145" t="str">
        <f ca="1">中間シート!X139</f>
        <v>市区町村を入力してください。</v>
      </c>
      <c r="AM65" s="150" t="str">
        <f ca="1">中間シート!X140</f>
        <v>町名地番を入力してください。</v>
      </c>
      <c r="AT65" s="145"/>
    </row>
    <row r="66" spans="2:46" s="150" customFormat="1" ht="5.0999999999999996" customHeight="1" thickBot="1" x14ac:dyDescent="0.25">
      <c r="C66" s="151"/>
      <c r="D66" s="152"/>
      <c r="E66" s="153"/>
      <c r="F66" s="163"/>
      <c r="G66" s="163"/>
      <c r="H66" s="163"/>
      <c r="I66" s="163"/>
      <c r="J66" s="163"/>
      <c r="K66" s="160"/>
      <c r="L66" s="164"/>
      <c r="M66" s="161"/>
      <c r="N66" s="164"/>
      <c r="O66" s="162"/>
      <c r="P66" s="163"/>
      <c r="Q66" s="160"/>
      <c r="R66" s="163"/>
      <c r="S66" s="163"/>
      <c r="T66" s="163"/>
      <c r="U66" s="162"/>
      <c r="V66" s="163"/>
      <c r="W66" s="163"/>
      <c r="X66" s="163"/>
      <c r="Y66" s="160"/>
      <c r="Z66" s="163"/>
      <c r="AA66" s="163"/>
      <c r="AB66" s="163"/>
      <c r="AC66" s="152"/>
      <c r="AE66" s="148"/>
      <c r="AF66" s="148"/>
      <c r="AG66" s="148"/>
      <c r="AH66" s="78"/>
    </row>
    <row r="67" spans="2:46" ht="18" customHeight="1" thickBot="1" x14ac:dyDescent="0.25">
      <c r="B67" s="145">
        <v>24</v>
      </c>
      <c r="C67" s="158"/>
      <c r="D67" s="152" t="s">
        <v>70</v>
      </c>
      <c r="E67" s="156"/>
      <c r="F67" s="236"/>
      <c r="G67" s="236"/>
      <c r="H67" s="236"/>
      <c r="I67" s="236"/>
      <c r="J67" s="236"/>
      <c r="K67" s="160"/>
      <c r="L67" s="126"/>
      <c r="M67" s="161" t="s">
        <v>47</v>
      </c>
      <c r="N67" s="126"/>
      <c r="O67" s="162"/>
      <c r="P67" s="132"/>
      <c r="Q67" s="160"/>
      <c r="R67" s="236"/>
      <c r="S67" s="236"/>
      <c r="T67" s="236"/>
      <c r="U67" s="162"/>
      <c r="V67" s="236"/>
      <c r="W67" s="236"/>
      <c r="X67" s="236"/>
      <c r="Y67" s="160"/>
      <c r="Z67" s="236"/>
      <c r="AA67" s="236"/>
      <c r="AB67" s="236"/>
      <c r="AC67" s="158"/>
      <c r="AE67" s="148"/>
      <c r="AF67" s="148"/>
      <c r="AG67" s="148"/>
      <c r="AH67" s="78" t="str">
        <f>IF($B67&lt;=入力シート!$F$22,IF(AI67&lt;&gt;"OK",AI67,IF(AJ67&lt;&gt;"OK",AJ67,IF(AK67&lt;&gt;"OK",AK67,IF(AL67&lt;&gt;"OK",AL67,AM67)))),"")</f>
        <v/>
      </c>
      <c r="AI67" s="150" t="str">
        <f ca="1">中間シート!X142</f>
        <v>事業場名を入力してください。</v>
      </c>
      <c r="AJ67" s="145" t="str">
        <f ca="1">中間シート!X143</f>
        <v>郵便番号を入力してください。</v>
      </c>
      <c r="AK67" s="150" t="str">
        <f ca="1">中間シート!X144</f>
        <v>都道府県を選択してください。</v>
      </c>
      <c r="AL67" s="145" t="str">
        <f ca="1">中間シート!X145</f>
        <v>市区町村を入力してください。</v>
      </c>
      <c r="AM67" s="150" t="str">
        <f ca="1">中間シート!X146</f>
        <v>町名地番を入力してください。</v>
      </c>
      <c r="AT67" s="145"/>
    </row>
    <row r="68" spans="2:46" s="150" customFormat="1" ht="5.0999999999999996" customHeight="1" thickBot="1" x14ac:dyDescent="0.25">
      <c r="C68" s="151"/>
      <c r="D68" s="152"/>
      <c r="E68" s="153"/>
      <c r="F68" s="163"/>
      <c r="G68" s="163"/>
      <c r="H68" s="163"/>
      <c r="I68" s="163"/>
      <c r="J68" s="163"/>
      <c r="K68" s="160"/>
      <c r="L68" s="164"/>
      <c r="M68" s="161"/>
      <c r="N68" s="164"/>
      <c r="O68" s="162"/>
      <c r="P68" s="163"/>
      <c r="Q68" s="160"/>
      <c r="R68" s="163"/>
      <c r="S68" s="163"/>
      <c r="T68" s="163"/>
      <c r="U68" s="162"/>
      <c r="V68" s="163"/>
      <c r="W68" s="163"/>
      <c r="X68" s="163"/>
      <c r="Y68" s="160"/>
      <c r="Z68" s="163"/>
      <c r="AA68" s="163"/>
      <c r="AB68" s="163"/>
      <c r="AC68" s="152"/>
      <c r="AE68" s="148"/>
      <c r="AF68" s="148"/>
      <c r="AG68" s="148"/>
      <c r="AH68" s="78"/>
    </row>
    <row r="69" spans="2:46" ht="18" customHeight="1" thickBot="1" x14ac:dyDescent="0.25">
      <c r="B69" s="145">
        <v>25</v>
      </c>
      <c r="C69" s="158"/>
      <c r="D69" s="152" t="s">
        <v>71</v>
      </c>
      <c r="E69" s="156"/>
      <c r="F69" s="236"/>
      <c r="G69" s="236"/>
      <c r="H69" s="236"/>
      <c r="I69" s="236"/>
      <c r="J69" s="236"/>
      <c r="K69" s="160"/>
      <c r="L69" s="126"/>
      <c r="M69" s="161" t="s">
        <v>47</v>
      </c>
      <c r="N69" s="126"/>
      <c r="O69" s="162"/>
      <c r="P69" s="132"/>
      <c r="Q69" s="160"/>
      <c r="R69" s="236"/>
      <c r="S69" s="236"/>
      <c r="T69" s="236"/>
      <c r="U69" s="162"/>
      <c r="V69" s="236"/>
      <c r="W69" s="236"/>
      <c r="X69" s="236"/>
      <c r="Y69" s="160"/>
      <c r="Z69" s="236"/>
      <c r="AA69" s="236"/>
      <c r="AB69" s="236"/>
      <c r="AC69" s="158"/>
      <c r="AE69" s="148"/>
      <c r="AF69" s="148"/>
      <c r="AG69" s="148"/>
      <c r="AH69" s="78" t="str">
        <f>IF($B69&lt;=入力シート!$F$22,IF(AI69&lt;&gt;"OK",AI69,IF(AJ69&lt;&gt;"OK",AJ69,IF(AK69&lt;&gt;"OK",AK69,IF(AL69&lt;&gt;"OK",AL69,AM69)))),"")</f>
        <v/>
      </c>
      <c r="AI69" s="150" t="str">
        <f ca="1">中間シート!X148</f>
        <v>事業場名を入力してください。</v>
      </c>
      <c r="AJ69" s="145" t="str">
        <f ca="1">中間シート!X149</f>
        <v>郵便番号を入力してください。</v>
      </c>
      <c r="AK69" s="150" t="str">
        <f ca="1">中間シート!X150</f>
        <v>都道府県を選択してください。</v>
      </c>
      <c r="AL69" s="145" t="str">
        <f ca="1">中間シート!X151</f>
        <v>市区町村を入力してください。</v>
      </c>
      <c r="AM69" s="150" t="str">
        <f ca="1">中間シート!X152</f>
        <v>町名地番を入力してください。</v>
      </c>
      <c r="AT69" s="145"/>
    </row>
    <row r="70" spans="2:46" s="150" customFormat="1" ht="5.0999999999999996" customHeight="1" thickBot="1" x14ac:dyDescent="0.25">
      <c r="C70" s="151"/>
      <c r="D70" s="152"/>
      <c r="E70" s="153"/>
      <c r="F70" s="163"/>
      <c r="G70" s="163"/>
      <c r="H70" s="163"/>
      <c r="I70" s="163"/>
      <c r="J70" s="163"/>
      <c r="K70" s="160"/>
      <c r="L70" s="164"/>
      <c r="M70" s="161"/>
      <c r="N70" s="164"/>
      <c r="O70" s="162"/>
      <c r="P70" s="163"/>
      <c r="Q70" s="160"/>
      <c r="R70" s="163"/>
      <c r="S70" s="163"/>
      <c r="T70" s="163"/>
      <c r="U70" s="162"/>
      <c r="V70" s="163"/>
      <c r="W70" s="163"/>
      <c r="X70" s="163"/>
      <c r="Y70" s="160"/>
      <c r="Z70" s="163"/>
      <c r="AA70" s="163"/>
      <c r="AB70" s="163"/>
      <c r="AC70" s="152"/>
      <c r="AE70" s="148"/>
      <c r="AF70" s="148"/>
      <c r="AG70" s="148"/>
      <c r="AH70" s="78"/>
    </row>
    <row r="71" spans="2:46" ht="18" customHeight="1" thickBot="1" x14ac:dyDescent="0.25">
      <c r="B71" s="145">
        <v>26</v>
      </c>
      <c r="C71" s="158"/>
      <c r="D71" s="152" t="s">
        <v>72</v>
      </c>
      <c r="E71" s="156"/>
      <c r="F71" s="236"/>
      <c r="G71" s="236"/>
      <c r="H71" s="236"/>
      <c r="I71" s="236"/>
      <c r="J71" s="236"/>
      <c r="K71" s="160"/>
      <c r="L71" s="126"/>
      <c r="M71" s="161" t="s">
        <v>47</v>
      </c>
      <c r="N71" s="126"/>
      <c r="O71" s="162"/>
      <c r="P71" s="132"/>
      <c r="Q71" s="160"/>
      <c r="R71" s="236"/>
      <c r="S71" s="236"/>
      <c r="T71" s="236"/>
      <c r="U71" s="162"/>
      <c r="V71" s="236"/>
      <c r="W71" s="236"/>
      <c r="X71" s="236"/>
      <c r="Y71" s="160"/>
      <c r="Z71" s="236"/>
      <c r="AA71" s="236"/>
      <c r="AB71" s="236"/>
      <c r="AC71" s="158"/>
      <c r="AE71" s="148"/>
      <c r="AF71" s="148"/>
      <c r="AG71" s="148"/>
      <c r="AH71" s="78" t="str">
        <f>IF($B71&lt;=入力シート!$F$22,IF(AI71&lt;&gt;"OK",AI71,IF(AJ71&lt;&gt;"OK",AJ71,IF(AK71&lt;&gt;"OK",AK71,IF(AL71&lt;&gt;"OK",AL71,AM71)))),"")</f>
        <v/>
      </c>
      <c r="AI71" s="150" t="str">
        <f ca="1">中間シート!X154</f>
        <v>事業場名を入力してください。</v>
      </c>
      <c r="AJ71" s="145" t="str">
        <f ca="1">中間シート!X155</f>
        <v>郵便番号を入力してください。</v>
      </c>
      <c r="AK71" s="150" t="str">
        <f ca="1">中間シート!X156</f>
        <v>都道府県を選択してください。</v>
      </c>
      <c r="AL71" s="145" t="str">
        <f ca="1">中間シート!X157</f>
        <v>市区町村を入力してください。</v>
      </c>
      <c r="AM71" s="150" t="str">
        <f ca="1">中間シート!X158</f>
        <v>町名地番を入力してください。</v>
      </c>
      <c r="AT71" s="145"/>
    </row>
    <row r="72" spans="2:46" s="150" customFormat="1" ht="5.0999999999999996" customHeight="1" thickBot="1" x14ac:dyDescent="0.25">
      <c r="C72" s="151"/>
      <c r="D72" s="152"/>
      <c r="E72" s="153"/>
      <c r="F72" s="163"/>
      <c r="G72" s="163"/>
      <c r="H72" s="163"/>
      <c r="I72" s="163"/>
      <c r="J72" s="163"/>
      <c r="K72" s="160"/>
      <c r="L72" s="164"/>
      <c r="M72" s="161"/>
      <c r="N72" s="164"/>
      <c r="O72" s="162"/>
      <c r="P72" s="163"/>
      <c r="Q72" s="160"/>
      <c r="R72" s="163"/>
      <c r="S72" s="163"/>
      <c r="T72" s="163"/>
      <c r="U72" s="162"/>
      <c r="V72" s="163"/>
      <c r="W72" s="163"/>
      <c r="X72" s="163"/>
      <c r="Y72" s="160"/>
      <c r="Z72" s="163"/>
      <c r="AA72" s="163"/>
      <c r="AB72" s="163"/>
      <c r="AC72" s="152"/>
      <c r="AE72" s="148"/>
      <c r="AF72" s="148"/>
      <c r="AG72" s="148"/>
      <c r="AH72" s="78"/>
    </row>
    <row r="73" spans="2:46" ht="18" customHeight="1" thickBot="1" x14ac:dyDescent="0.25">
      <c r="B73" s="145">
        <v>27</v>
      </c>
      <c r="C73" s="158"/>
      <c r="D73" s="152" t="s">
        <v>73</v>
      </c>
      <c r="E73" s="156"/>
      <c r="F73" s="236"/>
      <c r="G73" s="236"/>
      <c r="H73" s="236"/>
      <c r="I73" s="236"/>
      <c r="J73" s="236"/>
      <c r="K73" s="160"/>
      <c r="L73" s="126"/>
      <c r="M73" s="161" t="s">
        <v>47</v>
      </c>
      <c r="N73" s="126"/>
      <c r="O73" s="162"/>
      <c r="P73" s="132"/>
      <c r="Q73" s="160"/>
      <c r="R73" s="236"/>
      <c r="S73" s="236"/>
      <c r="T73" s="236"/>
      <c r="U73" s="162"/>
      <c r="V73" s="236"/>
      <c r="W73" s="236"/>
      <c r="X73" s="236"/>
      <c r="Y73" s="160"/>
      <c r="Z73" s="236"/>
      <c r="AA73" s="236"/>
      <c r="AB73" s="236"/>
      <c r="AC73" s="158"/>
      <c r="AE73" s="148"/>
      <c r="AF73" s="148"/>
      <c r="AG73" s="148"/>
      <c r="AH73" s="78" t="str">
        <f>IF($B73&lt;=入力シート!$F$22,IF(AI73&lt;&gt;"OK",AI73,IF(AJ73&lt;&gt;"OK",AJ73,IF(AK73&lt;&gt;"OK",AK73,IF(AL73&lt;&gt;"OK",AL73,AM73)))),"")</f>
        <v/>
      </c>
      <c r="AI73" s="150" t="str">
        <f ca="1">中間シート!X160</f>
        <v>事業場名を入力してください。</v>
      </c>
      <c r="AJ73" s="145" t="str">
        <f ca="1">中間シート!X161</f>
        <v>郵便番号を入力してください。</v>
      </c>
      <c r="AK73" s="150" t="str">
        <f ca="1">中間シート!X162</f>
        <v>都道府県を選択してください。</v>
      </c>
      <c r="AL73" s="145" t="str">
        <f ca="1">中間シート!X163</f>
        <v>市区町村を入力してください。</v>
      </c>
      <c r="AM73" s="150" t="str">
        <f ca="1">中間シート!X164</f>
        <v>町名地番を入力してください。</v>
      </c>
      <c r="AT73" s="145"/>
    </row>
    <row r="74" spans="2:46" s="150" customFormat="1" ht="5.0999999999999996" customHeight="1" thickBot="1" x14ac:dyDescent="0.25">
      <c r="C74" s="151"/>
      <c r="D74" s="152"/>
      <c r="E74" s="153"/>
      <c r="F74" s="163"/>
      <c r="G74" s="163"/>
      <c r="H74" s="163"/>
      <c r="I74" s="163"/>
      <c r="J74" s="163"/>
      <c r="K74" s="160"/>
      <c r="L74" s="164"/>
      <c r="M74" s="161"/>
      <c r="N74" s="164"/>
      <c r="O74" s="162"/>
      <c r="P74" s="163"/>
      <c r="Q74" s="160"/>
      <c r="R74" s="163"/>
      <c r="S74" s="163"/>
      <c r="T74" s="163"/>
      <c r="U74" s="162"/>
      <c r="V74" s="163"/>
      <c r="W74" s="163"/>
      <c r="X74" s="163"/>
      <c r="Y74" s="160"/>
      <c r="Z74" s="163"/>
      <c r="AA74" s="163"/>
      <c r="AB74" s="163"/>
      <c r="AC74" s="152"/>
      <c r="AE74" s="148"/>
      <c r="AF74" s="148"/>
      <c r="AG74" s="148"/>
      <c r="AH74" s="78"/>
    </row>
    <row r="75" spans="2:46" ht="18" customHeight="1" thickBot="1" x14ac:dyDescent="0.25">
      <c r="B75" s="145">
        <v>28</v>
      </c>
      <c r="C75" s="158"/>
      <c r="D75" s="152" t="s">
        <v>74</v>
      </c>
      <c r="E75" s="156"/>
      <c r="F75" s="236"/>
      <c r="G75" s="236"/>
      <c r="H75" s="236"/>
      <c r="I75" s="236"/>
      <c r="J75" s="236"/>
      <c r="K75" s="160"/>
      <c r="L75" s="126"/>
      <c r="M75" s="161" t="s">
        <v>47</v>
      </c>
      <c r="N75" s="126"/>
      <c r="O75" s="162"/>
      <c r="P75" s="132"/>
      <c r="Q75" s="160"/>
      <c r="R75" s="236"/>
      <c r="S75" s="236"/>
      <c r="T75" s="236"/>
      <c r="U75" s="162"/>
      <c r="V75" s="236"/>
      <c r="W75" s="236"/>
      <c r="X75" s="236"/>
      <c r="Y75" s="160"/>
      <c r="Z75" s="236"/>
      <c r="AA75" s="236"/>
      <c r="AB75" s="236"/>
      <c r="AC75" s="158"/>
      <c r="AE75" s="148"/>
      <c r="AF75" s="148"/>
      <c r="AG75" s="148"/>
      <c r="AH75" s="78" t="str">
        <f>IF($B75&lt;=入力シート!$F$22,IF(AI75&lt;&gt;"OK",AI75,IF(AJ75&lt;&gt;"OK",AJ75,IF(AK75&lt;&gt;"OK",AK75,IF(AL75&lt;&gt;"OK",AL75,AM75)))),"")</f>
        <v/>
      </c>
      <c r="AI75" s="150" t="str">
        <f ca="1">中間シート!X166</f>
        <v>事業場名を入力してください。</v>
      </c>
      <c r="AJ75" s="145" t="str">
        <f ca="1">中間シート!X167</f>
        <v>郵便番号を入力してください。</v>
      </c>
      <c r="AK75" s="150" t="str">
        <f ca="1">中間シート!X168</f>
        <v>都道府県を選択してください。</v>
      </c>
      <c r="AL75" s="145" t="str">
        <f ca="1">中間シート!X169</f>
        <v>市区町村を入力してください。</v>
      </c>
      <c r="AM75" s="150" t="str">
        <f ca="1">中間シート!X170</f>
        <v>町名地番を入力してください。</v>
      </c>
      <c r="AT75" s="145"/>
    </row>
    <row r="76" spans="2:46" s="150" customFormat="1" ht="5.0999999999999996" customHeight="1" thickBot="1" x14ac:dyDescent="0.25">
      <c r="C76" s="151"/>
      <c r="D76" s="152"/>
      <c r="E76" s="153"/>
      <c r="F76" s="163"/>
      <c r="G76" s="163"/>
      <c r="H76" s="163"/>
      <c r="I76" s="163"/>
      <c r="J76" s="163"/>
      <c r="K76" s="160"/>
      <c r="L76" s="164"/>
      <c r="M76" s="161"/>
      <c r="N76" s="164"/>
      <c r="O76" s="162"/>
      <c r="P76" s="163"/>
      <c r="Q76" s="160"/>
      <c r="R76" s="163"/>
      <c r="S76" s="163"/>
      <c r="T76" s="163"/>
      <c r="U76" s="162"/>
      <c r="V76" s="163"/>
      <c r="W76" s="163"/>
      <c r="X76" s="163"/>
      <c r="Y76" s="160"/>
      <c r="Z76" s="163"/>
      <c r="AA76" s="163"/>
      <c r="AB76" s="163"/>
      <c r="AC76" s="152"/>
      <c r="AE76" s="148"/>
      <c r="AF76" s="148"/>
      <c r="AG76" s="148"/>
      <c r="AH76" s="78"/>
    </row>
    <row r="77" spans="2:46" ht="18" customHeight="1" thickBot="1" x14ac:dyDescent="0.25">
      <c r="B77" s="145">
        <v>29</v>
      </c>
      <c r="C77" s="158"/>
      <c r="D77" s="152" t="s">
        <v>75</v>
      </c>
      <c r="E77" s="156"/>
      <c r="F77" s="236"/>
      <c r="G77" s="236"/>
      <c r="H77" s="236"/>
      <c r="I77" s="236"/>
      <c r="J77" s="236"/>
      <c r="K77" s="160"/>
      <c r="L77" s="126"/>
      <c r="M77" s="161" t="s">
        <v>47</v>
      </c>
      <c r="N77" s="126"/>
      <c r="O77" s="162"/>
      <c r="P77" s="132"/>
      <c r="Q77" s="160"/>
      <c r="R77" s="236"/>
      <c r="S77" s="236"/>
      <c r="T77" s="236"/>
      <c r="U77" s="162"/>
      <c r="V77" s="236"/>
      <c r="W77" s="236"/>
      <c r="X77" s="236"/>
      <c r="Y77" s="160"/>
      <c r="Z77" s="236"/>
      <c r="AA77" s="236"/>
      <c r="AB77" s="236"/>
      <c r="AC77" s="158"/>
      <c r="AE77" s="148"/>
      <c r="AF77" s="148"/>
      <c r="AG77" s="148"/>
      <c r="AH77" s="78" t="str">
        <f>IF($B77&lt;=入力シート!$F$22,IF(AI77&lt;&gt;"OK",AI77,IF(AJ77&lt;&gt;"OK",AJ77,IF(AK77&lt;&gt;"OK",AK77,IF(AL77&lt;&gt;"OK",AL77,AM77)))),"")</f>
        <v/>
      </c>
      <c r="AI77" s="150" t="str">
        <f ca="1">中間シート!X172</f>
        <v>事業場名を入力してください。</v>
      </c>
      <c r="AJ77" s="145" t="str">
        <f ca="1">中間シート!X173</f>
        <v>郵便番号を入力してください。</v>
      </c>
      <c r="AK77" s="150" t="str">
        <f ca="1">中間シート!X174</f>
        <v>都道府県を選択してください。</v>
      </c>
      <c r="AL77" s="145" t="str">
        <f ca="1">中間シート!X175</f>
        <v>市区町村を入力してください。</v>
      </c>
      <c r="AM77" s="150" t="str">
        <f ca="1">中間シート!X176</f>
        <v>町名地番を入力してください。</v>
      </c>
      <c r="AT77" s="145"/>
    </row>
    <row r="78" spans="2:46" s="150" customFormat="1" ht="5.0999999999999996" customHeight="1" thickBot="1" x14ac:dyDescent="0.25">
      <c r="C78" s="151"/>
      <c r="D78" s="152"/>
      <c r="E78" s="153"/>
      <c r="F78" s="163"/>
      <c r="G78" s="163"/>
      <c r="H78" s="163"/>
      <c r="I78" s="163"/>
      <c r="J78" s="163"/>
      <c r="K78" s="160"/>
      <c r="L78" s="164"/>
      <c r="M78" s="161"/>
      <c r="N78" s="164"/>
      <c r="O78" s="162"/>
      <c r="P78" s="163"/>
      <c r="Q78" s="160"/>
      <c r="R78" s="163"/>
      <c r="S78" s="163"/>
      <c r="T78" s="163"/>
      <c r="U78" s="162"/>
      <c r="V78" s="163"/>
      <c r="W78" s="163"/>
      <c r="X78" s="163"/>
      <c r="Y78" s="160"/>
      <c r="Z78" s="163"/>
      <c r="AA78" s="163"/>
      <c r="AB78" s="163"/>
      <c r="AC78" s="152"/>
      <c r="AE78" s="148"/>
      <c r="AF78" s="148"/>
      <c r="AG78" s="148"/>
      <c r="AH78" s="78"/>
    </row>
    <row r="79" spans="2:46" ht="18" customHeight="1" thickBot="1" x14ac:dyDescent="0.25">
      <c r="B79" s="145">
        <v>30</v>
      </c>
      <c r="C79" s="158"/>
      <c r="D79" s="152" t="s">
        <v>76</v>
      </c>
      <c r="E79" s="156"/>
      <c r="F79" s="236"/>
      <c r="G79" s="236"/>
      <c r="H79" s="236"/>
      <c r="I79" s="236"/>
      <c r="J79" s="236"/>
      <c r="K79" s="160"/>
      <c r="L79" s="126"/>
      <c r="M79" s="161" t="s">
        <v>47</v>
      </c>
      <c r="N79" s="126"/>
      <c r="O79" s="162"/>
      <c r="P79" s="132"/>
      <c r="Q79" s="160"/>
      <c r="R79" s="236"/>
      <c r="S79" s="236"/>
      <c r="T79" s="236"/>
      <c r="U79" s="162"/>
      <c r="V79" s="236"/>
      <c r="W79" s="236"/>
      <c r="X79" s="236"/>
      <c r="Y79" s="160"/>
      <c r="Z79" s="236"/>
      <c r="AA79" s="236"/>
      <c r="AB79" s="236"/>
      <c r="AC79" s="158"/>
      <c r="AE79" s="148"/>
      <c r="AF79" s="148"/>
      <c r="AG79" s="148"/>
      <c r="AH79" s="78" t="str">
        <f>IF($B79&lt;=入力シート!$F$22,IF(AI79&lt;&gt;"OK",AI79,IF(AJ79&lt;&gt;"OK",AJ79,IF(AK79&lt;&gt;"OK",AK79,IF(AL79&lt;&gt;"OK",AL79,AM79)))),"")</f>
        <v/>
      </c>
      <c r="AI79" s="150" t="str">
        <f ca="1">中間シート!X178</f>
        <v>事業場名を入力してください。</v>
      </c>
      <c r="AJ79" s="145" t="str">
        <f ca="1">中間シート!X179</f>
        <v>郵便番号を入力してください。</v>
      </c>
      <c r="AK79" s="150" t="str">
        <f ca="1">中間シート!X180</f>
        <v>都道府県を選択してください。</v>
      </c>
      <c r="AL79" s="145" t="str">
        <f ca="1">中間シート!X181</f>
        <v>市区町村を入力してください。</v>
      </c>
      <c r="AM79" s="150" t="str">
        <f ca="1">中間シート!X182</f>
        <v>町名地番を入力してください。</v>
      </c>
      <c r="AT79" s="145"/>
    </row>
    <row r="80" spans="2:46" x14ac:dyDescent="0.2">
      <c r="C80" s="158"/>
      <c r="D80" s="158"/>
      <c r="E80" s="156"/>
      <c r="F80" s="156"/>
      <c r="G80" s="156"/>
      <c r="H80" s="156"/>
      <c r="I80" s="156"/>
      <c r="J80" s="156"/>
      <c r="K80" s="156"/>
      <c r="L80" s="156"/>
      <c r="M80" s="169"/>
      <c r="N80" s="156"/>
      <c r="O80" s="156"/>
      <c r="P80" s="156"/>
      <c r="Q80" s="156"/>
      <c r="R80" s="156"/>
      <c r="S80" s="156"/>
      <c r="T80" s="156"/>
      <c r="U80" s="156"/>
      <c r="V80" s="156"/>
      <c r="W80" s="156"/>
      <c r="X80" s="156"/>
      <c r="Y80" s="156"/>
      <c r="Z80" s="156"/>
      <c r="AA80" s="151"/>
      <c r="AB80" s="156"/>
      <c r="AC80" s="156"/>
      <c r="AD80" s="150"/>
      <c r="AE80" s="148"/>
      <c r="AF80" s="148"/>
      <c r="AG80" s="148"/>
      <c r="AH80" s="84"/>
      <c r="AT80" s="145"/>
    </row>
    <row r="81" spans="2:46" x14ac:dyDescent="0.2">
      <c r="C81" s="158"/>
      <c r="D81" s="158"/>
      <c r="E81" s="156"/>
      <c r="F81" s="156"/>
      <c r="G81" s="156"/>
      <c r="H81" s="156"/>
      <c r="I81" s="156"/>
      <c r="J81" s="156"/>
      <c r="K81" s="156"/>
      <c r="L81" s="156"/>
      <c r="M81" s="169"/>
      <c r="N81" s="156"/>
      <c r="O81" s="156"/>
      <c r="P81" s="156"/>
      <c r="Q81" s="156"/>
      <c r="R81" s="156"/>
      <c r="S81" s="156"/>
      <c r="T81" s="156"/>
      <c r="U81" s="156"/>
      <c r="V81" s="156"/>
      <c r="W81" s="156"/>
      <c r="X81" s="156"/>
      <c r="Y81" s="156"/>
      <c r="Z81" s="282" t="s">
        <v>77</v>
      </c>
      <c r="AA81" s="282"/>
      <c r="AB81" s="282"/>
      <c r="AC81" s="156"/>
      <c r="AD81" s="150"/>
      <c r="AE81" s="148"/>
      <c r="AF81" s="148"/>
      <c r="AG81" s="148"/>
      <c r="AH81" s="84"/>
      <c r="AT81" s="145"/>
    </row>
    <row r="82" spans="2:46" x14ac:dyDescent="0.2">
      <c r="C82" s="158"/>
      <c r="D82" s="158"/>
      <c r="E82" s="156"/>
      <c r="F82" s="156"/>
      <c r="G82" s="156"/>
      <c r="H82" s="156"/>
      <c r="I82" s="156"/>
      <c r="J82" s="156"/>
      <c r="K82" s="156"/>
      <c r="L82" s="156"/>
      <c r="M82" s="169"/>
      <c r="N82" s="156"/>
      <c r="O82" s="156"/>
      <c r="P82" s="156"/>
      <c r="Q82" s="156"/>
      <c r="R82" s="156"/>
      <c r="S82" s="156"/>
      <c r="T82" s="156"/>
      <c r="U82" s="156"/>
      <c r="V82" s="156"/>
      <c r="W82" s="156"/>
      <c r="X82" s="156"/>
      <c r="Y82" s="156"/>
      <c r="Z82" s="156"/>
      <c r="AA82" s="151"/>
      <c r="AB82" s="156"/>
      <c r="AC82" s="156"/>
      <c r="AD82" s="150"/>
      <c r="AE82" s="148"/>
      <c r="AF82" s="148"/>
      <c r="AG82" s="148"/>
      <c r="AH82" s="84"/>
      <c r="AT82" s="145"/>
    </row>
    <row r="83" spans="2:46" x14ac:dyDescent="0.2">
      <c r="AP83" s="150"/>
      <c r="AQ83" s="148"/>
      <c r="AR83" s="148"/>
      <c r="AS83" s="148"/>
    </row>
    <row r="84" spans="2:46" ht="5.0999999999999996" customHeight="1" x14ac:dyDescent="0.2">
      <c r="C84" s="170"/>
      <c r="D84" s="171"/>
      <c r="E84" s="172"/>
      <c r="F84" s="170"/>
      <c r="G84" s="170"/>
      <c r="H84" s="170"/>
      <c r="I84" s="173"/>
      <c r="J84" s="170"/>
      <c r="K84" s="170"/>
      <c r="L84" s="170"/>
      <c r="M84" s="170"/>
      <c r="N84" s="170"/>
      <c r="O84" s="170"/>
      <c r="P84" s="170"/>
      <c r="Q84" s="170"/>
      <c r="R84" s="170"/>
      <c r="S84" s="170"/>
      <c r="T84" s="170"/>
      <c r="U84" s="170"/>
      <c r="V84" s="170"/>
      <c r="W84" s="170"/>
      <c r="AP84" s="150"/>
      <c r="AQ84" s="148"/>
      <c r="AR84" s="148"/>
      <c r="AS84" s="148"/>
    </row>
    <row r="85" spans="2:46" x14ac:dyDescent="0.2">
      <c r="C85" s="170" t="str">
        <f>"２-２．事業場２"&amp;IF(2&lt;中間シート!G3,"～事業場"&amp;DBCS(中間シート!G3),"")&amp;"にて実施する補助対象研修の情報を入力してください。"</f>
        <v>２-２．事業場２にて実施する補助対象研修の情報を入力してください。</v>
      </c>
      <c r="D85" s="170"/>
      <c r="E85" s="174"/>
      <c r="F85" s="170"/>
      <c r="G85" s="170"/>
      <c r="H85" s="170"/>
      <c r="I85" s="173"/>
      <c r="J85" s="170"/>
      <c r="K85" s="170"/>
      <c r="L85" s="170"/>
      <c r="M85" s="170"/>
      <c r="N85" s="170"/>
      <c r="O85" s="170"/>
      <c r="P85" s="170"/>
      <c r="Q85" s="170"/>
      <c r="R85" s="170"/>
      <c r="S85" s="170"/>
      <c r="T85" s="170"/>
      <c r="U85" s="170"/>
      <c r="V85" s="170"/>
      <c r="W85" s="170"/>
      <c r="AP85" s="150"/>
      <c r="AQ85" s="148"/>
      <c r="AR85" s="148"/>
      <c r="AS85" s="148"/>
    </row>
    <row r="86" spans="2:46" ht="5.0999999999999996" customHeight="1" x14ac:dyDescent="0.2">
      <c r="C86" s="170"/>
      <c r="D86" s="171"/>
      <c r="E86" s="172"/>
      <c r="F86" s="170"/>
      <c r="G86" s="170"/>
      <c r="H86" s="170"/>
      <c r="I86" s="173"/>
      <c r="J86" s="170"/>
      <c r="K86" s="170"/>
      <c r="L86" s="170"/>
      <c r="M86" s="170"/>
      <c r="N86" s="170"/>
      <c r="O86" s="170"/>
      <c r="P86" s="170"/>
      <c r="Q86" s="170"/>
      <c r="R86" s="170"/>
      <c r="S86" s="170"/>
      <c r="T86" s="170"/>
      <c r="U86" s="170"/>
      <c r="V86" s="170"/>
      <c r="W86" s="170"/>
      <c r="AP86" s="150"/>
      <c r="AQ86" s="148"/>
      <c r="AR86" s="148"/>
      <c r="AS86" s="148"/>
    </row>
    <row r="87" spans="2:46" s="141" customFormat="1" x14ac:dyDescent="0.2">
      <c r="C87" s="175"/>
      <c r="D87" s="138" t="s">
        <v>520</v>
      </c>
      <c r="E87" s="174"/>
      <c r="F87" s="175"/>
      <c r="G87" s="175"/>
      <c r="H87" s="175"/>
      <c r="I87" s="173"/>
      <c r="J87" s="175"/>
      <c r="K87" s="175"/>
      <c r="L87" s="175"/>
      <c r="M87" s="175"/>
      <c r="N87" s="175"/>
      <c r="O87" s="175"/>
      <c r="P87" s="175"/>
      <c r="Q87" s="175"/>
      <c r="R87" s="175"/>
      <c r="S87" s="175"/>
      <c r="T87" s="175"/>
      <c r="U87" s="175"/>
      <c r="V87" s="175"/>
      <c r="W87" s="175"/>
      <c r="X87" s="145"/>
      <c r="Y87" s="145"/>
      <c r="Z87" s="145"/>
      <c r="AA87" s="145"/>
      <c r="AB87" s="145"/>
      <c r="AC87" s="145"/>
      <c r="AD87" s="145"/>
      <c r="AE87" s="145"/>
      <c r="AF87" s="145"/>
      <c r="AG87" s="145"/>
      <c r="AH87" s="145"/>
      <c r="AI87" s="145"/>
      <c r="AJ87" s="145"/>
      <c r="AK87" s="145"/>
      <c r="AL87" s="145"/>
      <c r="AM87" s="145"/>
      <c r="AN87" s="145"/>
      <c r="AO87" s="145"/>
      <c r="AQ87" s="148"/>
      <c r="AR87" s="148"/>
      <c r="AS87" s="148"/>
      <c r="AT87" s="78"/>
    </row>
    <row r="88" spans="2:46" s="141" customFormat="1" x14ac:dyDescent="0.2">
      <c r="C88" s="175"/>
      <c r="D88" s="138"/>
      <c r="E88" s="174"/>
      <c r="F88" s="175"/>
      <c r="G88" s="175"/>
      <c r="H88" s="175"/>
      <c r="I88" s="173"/>
      <c r="J88" s="175"/>
      <c r="K88" s="175"/>
      <c r="L88" s="175"/>
      <c r="M88" s="175"/>
      <c r="N88" s="175"/>
      <c r="O88" s="175"/>
      <c r="P88" s="175"/>
      <c r="Q88" s="175"/>
      <c r="R88" s="175"/>
      <c r="S88" s="175"/>
      <c r="T88" s="175"/>
      <c r="U88" s="175"/>
      <c r="V88" s="175"/>
      <c r="W88" s="175"/>
      <c r="X88" s="145"/>
      <c r="Y88" s="145"/>
      <c r="Z88" s="145"/>
      <c r="AA88" s="145"/>
      <c r="AB88" s="145"/>
      <c r="AC88" s="145"/>
      <c r="AD88" s="145"/>
      <c r="AE88" s="145"/>
      <c r="AF88" s="145"/>
      <c r="AG88" s="145"/>
      <c r="AH88" s="145"/>
      <c r="AI88" s="145"/>
      <c r="AJ88" s="145"/>
      <c r="AK88" s="145"/>
      <c r="AL88" s="145"/>
      <c r="AM88" s="145"/>
      <c r="AN88" s="145"/>
      <c r="AO88" s="145"/>
      <c r="AQ88" s="148"/>
      <c r="AR88" s="148"/>
      <c r="AS88" s="148"/>
      <c r="AT88" s="78"/>
    </row>
    <row r="89" spans="2:46" ht="13.5" customHeight="1" x14ac:dyDescent="0.2">
      <c r="C89" s="170"/>
      <c r="D89" s="170"/>
      <c r="E89" s="174"/>
      <c r="F89" s="174"/>
      <c r="G89" s="174"/>
      <c r="H89" s="174"/>
      <c r="I89" s="173"/>
      <c r="J89" s="170"/>
      <c r="K89" s="170"/>
      <c r="L89" s="170"/>
      <c r="M89" s="170"/>
      <c r="N89" s="170"/>
      <c r="O89" s="170"/>
      <c r="P89" s="170"/>
      <c r="Q89" s="170"/>
      <c r="R89" s="170"/>
      <c r="S89" s="170"/>
      <c r="T89" s="170"/>
      <c r="U89" s="170"/>
      <c r="V89" s="170"/>
      <c r="W89" s="170"/>
      <c r="AP89" s="150"/>
      <c r="AQ89" s="148"/>
      <c r="AR89" s="148"/>
      <c r="AS89" s="148"/>
    </row>
    <row r="90" spans="2:46" s="78" customFormat="1" ht="27" customHeight="1" x14ac:dyDescent="0.2">
      <c r="B90" s="131"/>
      <c r="C90" s="95"/>
      <c r="D90" s="216" t="s">
        <v>577</v>
      </c>
      <c r="E90" s="217"/>
      <c r="F90" s="217"/>
      <c r="G90" s="217"/>
      <c r="H90" s="217"/>
      <c r="I90" s="217"/>
      <c r="J90" s="217"/>
      <c r="K90" s="217"/>
      <c r="L90" s="217"/>
      <c r="M90" s="217"/>
      <c r="N90" s="217"/>
      <c r="O90" s="217"/>
      <c r="P90" s="217"/>
      <c r="Q90" s="217"/>
      <c r="R90" s="217"/>
      <c r="S90" s="217"/>
      <c r="T90" s="217"/>
      <c r="U90" s="217"/>
      <c r="V90" s="217"/>
      <c r="W90" s="131"/>
      <c r="Y90" s="145"/>
      <c r="Z90" s="145"/>
      <c r="AA90" s="81"/>
    </row>
    <row r="91" spans="2:46" s="78" customFormat="1" ht="5.0999999999999996" customHeight="1" x14ac:dyDescent="0.2">
      <c r="B91" s="131"/>
      <c r="C91" s="95"/>
      <c r="D91" s="131"/>
      <c r="E91" s="95"/>
      <c r="F91" s="95"/>
      <c r="G91" s="131"/>
      <c r="H91" s="131"/>
      <c r="I91" s="131"/>
      <c r="J91" s="131"/>
      <c r="K91" s="131"/>
      <c r="L91" s="131"/>
      <c r="M91" s="131"/>
      <c r="N91" s="131"/>
      <c r="O91" s="131"/>
      <c r="P91" s="131"/>
      <c r="Q91" s="131"/>
      <c r="R91" s="131"/>
      <c r="S91" s="131"/>
      <c r="T91" s="131"/>
      <c r="U91" s="131"/>
      <c r="V91" s="131"/>
      <c r="W91" s="131"/>
      <c r="Y91" s="145"/>
      <c r="Z91" s="145"/>
      <c r="AA91" s="81"/>
    </row>
    <row r="92" spans="2:46" s="78" customFormat="1" ht="27" customHeight="1" x14ac:dyDescent="0.2">
      <c r="B92" s="131"/>
      <c r="C92" s="95"/>
      <c r="D92" s="216"/>
      <c r="E92" s="216"/>
      <c r="F92" s="216"/>
      <c r="G92" s="216"/>
      <c r="H92" s="216"/>
      <c r="I92" s="216"/>
      <c r="J92" s="216"/>
      <c r="K92" s="216"/>
      <c r="L92" s="216"/>
      <c r="M92" s="216"/>
      <c r="N92" s="216"/>
      <c r="O92" s="216"/>
      <c r="P92" s="216"/>
      <c r="Q92" s="216"/>
      <c r="R92" s="216"/>
      <c r="S92" s="216"/>
      <c r="T92" s="216"/>
      <c r="U92" s="216"/>
      <c r="V92" s="216"/>
      <c r="W92" s="131"/>
      <c r="Y92" s="145"/>
      <c r="Z92" s="145"/>
      <c r="AA92" s="81"/>
    </row>
    <row r="93" spans="2:46" s="78" customFormat="1" x14ac:dyDescent="0.2">
      <c r="B93" s="131"/>
      <c r="C93" s="95"/>
      <c r="D93" s="131"/>
      <c r="E93" s="95"/>
      <c r="F93" s="95"/>
      <c r="G93" s="131"/>
      <c r="H93" s="131"/>
      <c r="I93" s="131"/>
      <c r="J93" s="131"/>
      <c r="K93" s="131"/>
      <c r="L93" s="131"/>
      <c r="M93" s="131"/>
      <c r="N93" s="131"/>
      <c r="O93" s="131"/>
      <c r="P93" s="131"/>
      <c r="Q93" s="131"/>
      <c r="R93" s="131"/>
      <c r="S93" s="131"/>
      <c r="T93" s="131"/>
      <c r="U93" s="131"/>
      <c r="V93" s="131"/>
      <c r="W93" s="131"/>
      <c r="Y93" s="145"/>
      <c r="Z93" s="145"/>
      <c r="AA93" s="81"/>
    </row>
    <row r="94" spans="2:46" ht="31.5" customHeight="1" thickBot="1" x14ac:dyDescent="0.25">
      <c r="C94" s="170"/>
      <c r="D94" s="170"/>
      <c r="E94" s="174"/>
      <c r="F94" s="98" t="s">
        <v>521</v>
      </c>
      <c r="G94" s="170"/>
      <c r="H94" s="170"/>
      <c r="I94" s="173"/>
      <c r="J94" s="170" t="s">
        <v>504</v>
      </c>
      <c r="K94" s="170"/>
      <c r="L94" s="170"/>
      <c r="M94" s="170"/>
      <c r="N94" s="170"/>
      <c r="O94" s="170"/>
      <c r="P94" s="170"/>
      <c r="Q94" s="170"/>
      <c r="R94" s="170"/>
      <c r="S94" s="170"/>
      <c r="T94" s="170"/>
      <c r="U94" s="170"/>
      <c r="V94" s="170"/>
      <c r="W94" s="170"/>
      <c r="AP94" s="150"/>
      <c r="AQ94" s="148" t="s">
        <v>78</v>
      </c>
      <c r="AR94" s="148"/>
      <c r="AS94" s="148"/>
    </row>
    <row r="95" spans="2:46" ht="18" customHeight="1" thickBot="1" x14ac:dyDescent="0.25">
      <c r="C95" s="170"/>
      <c r="D95" s="171" t="s">
        <v>25</v>
      </c>
      <c r="E95" s="172" t="s">
        <v>506</v>
      </c>
      <c r="F95" s="176" t="str">
        <f>中間シート!G187</f>
        <v/>
      </c>
      <c r="G95" s="170"/>
      <c r="H95" s="170"/>
      <c r="I95" s="173"/>
      <c r="J95" s="218" t="str">
        <f>IFERROR(VLOOKUP($F95,補助対象研修一覧!$A$2:$K$224,2,FALSE),"")</f>
        <v/>
      </c>
      <c r="K95" s="219"/>
      <c r="L95" s="219"/>
      <c r="M95" s="219"/>
      <c r="N95" s="219"/>
      <c r="O95" s="219"/>
      <c r="P95" s="220"/>
      <c r="Q95" s="170"/>
      <c r="R95" s="170"/>
      <c r="S95" s="170"/>
      <c r="T95" s="170"/>
      <c r="U95" s="175"/>
      <c r="V95" s="170"/>
      <c r="W95" s="170"/>
      <c r="X95" s="247" t="str">
        <f ca="1">""&amp;中間シート!$X187</f>
        <v>コード番号を選択してください。</v>
      </c>
      <c r="Y95" s="247"/>
      <c r="Z95" s="247"/>
      <c r="AA95" s="247"/>
      <c r="AB95" s="247"/>
      <c r="AC95" s="247"/>
      <c r="AD95" s="247"/>
      <c r="AE95" s="247"/>
      <c r="AF95" s="247"/>
      <c r="AG95" s="247"/>
      <c r="AH95" s="247"/>
      <c r="AI95" s="247"/>
      <c r="AJ95" s="247"/>
      <c r="AK95" s="247"/>
      <c r="AL95" s="247"/>
      <c r="AM95" s="247"/>
      <c r="AN95" s="247"/>
      <c r="AO95" s="247"/>
      <c r="AP95" s="150"/>
      <c r="AQ95" s="177">
        <f>IF(J95&lt;&gt;"",1,0)</f>
        <v>0</v>
      </c>
      <c r="AR95" s="148"/>
      <c r="AS95" s="148"/>
    </row>
    <row r="96" spans="2:46" ht="5.0999999999999996" customHeight="1" thickBot="1" x14ac:dyDescent="0.25">
      <c r="C96" s="170"/>
      <c r="D96" s="170"/>
      <c r="E96" s="174"/>
      <c r="F96" s="175"/>
      <c r="G96" s="174"/>
      <c r="H96" s="170"/>
      <c r="I96" s="173"/>
      <c r="J96" s="175"/>
      <c r="K96" s="175"/>
      <c r="L96" s="175"/>
      <c r="M96" s="175"/>
      <c r="N96" s="175"/>
      <c r="O96" s="175"/>
      <c r="P96" s="175"/>
      <c r="Q96" s="170"/>
      <c r="R96" s="170"/>
      <c r="S96" s="170"/>
      <c r="T96" s="170"/>
      <c r="U96" s="175"/>
      <c r="V96" s="170"/>
      <c r="W96" s="170"/>
      <c r="X96" s="178"/>
      <c r="Y96" s="178"/>
      <c r="Z96" s="178"/>
      <c r="AA96" s="178"/>
      <c r="AB96" s="178"/>
      <c r="AC96" s="178"/>
      <c r="AD96" s="178"/>
      <c r="AE96" s="178"/>
      <c r="AF96" s="178"/>
      <c r="AG96" s="178"/>
      <c r="AH96" s="178"/>
      <c r="AI96" s="178"/>
      <c r="AJ96" s="178"/>
      <c r="AK96" s="178"/>
      <c r="AL96" s="178"/>
      <c r="AM96" s="178"/>
      <c r="AN96" s="178"/>
      <c r="AO96" s="178"/>
      <c r="AP96" s="150"/>
      <c r="AQ96" s="148"/>
      <c r="AR96" s="148"/>
      <c r="AS96" s="148"/>
    </row>
    <row r="97" spans="2:45" ht="18" customHeight="1" thickBot="1" x14ac:dyDescent="0.25">
      <c r="C97" s="170"/>
      <c r="D97" s="170"/>
      <c r="E97" s="172" t="s">
        <v>507</v>
      </c>
      <c r="F97" s="176" t="str">
        <f>中間シート!G188</f>
        <v/>
      </c>
      <c r="G97" s="174"/>
      <c r="H97" s="170"/>
      <c r="I97" s="173"/>
      <c r="J97" s="218" t="str">
        <f>IFERROR(VLOOKUP($F97,補助対象研修一覧!$A$2:$K$224,2,FALSE),"")</f>
        <v/>
      </c>
      <c r="K97" s="219"/>
      <c r="L97" s="219"/>
      <c r="M97" s="219"/>
      <c r="N97" s="219"/>
      <c r="O97" s="219"/>
      <c r="P97" s="220"/>
      <c r="Q97" s="170"/>
      <c r="R97" s="170"/>
      <c r="S97" s="170"/>
      <c r="T97" s="170"/>
      <c r="U97" s="175"/>
      <c r="V97" s="170"/>
      <c r="W97" s="170"/>
      <c r="X97" s="247" t="str">
        <f ca="1">""&amp;中間シート!$X188</f>
        <v/>
      </c>
      <c r="Y97" s="247"/>
      <c r="Z97" s="247"/>
      <c r="AA97" s="247"/>
      <c r="AB97" s="247"/>
      <c r="AC97" s="247"/>
      <c r="AD97" s="247"/>
      <c r="AE97" s="247"/>
      <c r="AF97" s="247"/>
      <c r="AG97" s="247"/>
      <c r="AH97" s="247"/>
      <c r="AI97" s="247"/>
      <c r="AJ97" s="247"/>
      <c r="AK97" s="247"/>
      <c r="AL97" s="247"/>
      <c r="AM97" s="247"/>
      <c r="AN97" s="247"/>
      <c r="AO97" s="247"/>
      <c r="AP97" s="150"/>
      <c r="AQ97" s="177">
        <f>IF(J97&lt;&gt;"",1,0)</f>
        <v>0</v>
      </c>
      <c r="AR97" s="148"/>
      <c r="AS97" s="148"/>
    </row>
    <row r="98" spans="2:45" ht="5.0999999999999996" customHeight="1" thickBot="1" x14ac:dyDescent="0.25">
      <c r="C98" s="170"/>
      <c r="D98" s="170"/>
      <c r="E98" s="172"/>
      <c r="F98" s="179"/>
      <c r="G98" s="174"/>
      <c r="H98" s="170"/>
      <c r="I98" s="173"/>
      <c r="J98" s="179"/>
      <c r="K98" s="179"/>
      <c r="L98" s="179"/>
      <c r="M98" s="175"/>
      <c r="N98" s="179"/>
      <c r="O98" s="179"/>
      <c r="P98" s="179"/>
      <c r="Q98" s="170"/>
      <c r="R98" s="170"/>
      <c r="S98" s="170"/>
      <c r="T98" s="170"/>
      <c r="U98" s="175"/>
      <c r="V98" s="170"/>
      <c r="W98" s="170"/>
      <c r="X98" s="178"/>
      <c r="Y98" s="178"/>
      <c r="Z98" s="178"/>
      <c r="AA98" s="178"/>
      <c r="AB98" s="178"/>
      <c r="AC98" s="178"/>
      <c r="AD98" s="178"/>
      <c r="AE98" s="178"/>
      <c r="AF98" s="178"/>
      <c r="AG98" s="178"/>
      <c r="AH98" s="178"/>
      <c r="AI98" s="178"/>
      <c r="AJ98" s="178"/>
      <c r="AK98" s="178"/>
      <c r="AL98" s="178"/>
      <c r="AM98" s="178"/>
      <c r="AN98" s="178"/>
      <c r="AO98" s="178"/>
      <c r="AP98" s="150"/>
      <c r="AQ98" s="148"/>
      <c r="AR98" s="148"/>
      <c r="AS98" s="148"/>
    </row>
    <row r="99" spans="2:45" ht="18" customHeight="1" thickBot="1" x14ac:dyDescent="0.25">
      <c r="C99" s="170"/>
      <c r="D99" s="170"/>
      <c r="E99" s="172" t="s">
        <v>508</v>
      </c>
      <c r="F99" s="176" t="str">
        <f>中間シート!G189</f>
        <v/>
      </c>
      <c r="G99" s="174"/>
      <c r="H99" s="170"/>
      <c r="I99" s="173"/>
      <c r="J99" s="218" t="str">
        <f>IFERROR(VLOOKUP($F99,補助対象研修一覧!$A$2:$K$224,2,FALSE),"")</f>
        <v/>
      </c>
      <c r="K99" s="219"/>
      <c r="L99" s="219"/>
      <c r="M99" s="219"/>
      <c r="N99" s="219"/>
      <c r="O99" s="219"/>
      <c r="P99" s="220"/>
      <c r="Q99" s="170"/>
      <c r="R99" s="170"/>
      <c r="S99" s="170"/>
      <c r="T99" s="170"/>
      <c r="U99" s="175"/>
      <c r="V99" s="170"/>
      <c r="W99" s="170"/>
      <c r="X99" s="247" t="str">
        <f ca="1">""&amp;中間シート!$X189</f>
        <v/>
      </c>
      <c r="Y99" s="247"/>
      <c r="Z99" s="247"/>
      <c r="AA99" s="247"/>
      <c r="AB99" s="247"/>
      <c r="AC99" s="247"/>
      <c r="AD99" s="247"/>
      <c r="AE99" s="247"/>
      <c r="AF99" s="247"/>
      <c r="AG99" s="247"/>
      <c r="AH99" s="247"/>
      <c r="AI99" s="247"/>
      <c r="AJ99" s="247"/>
      <c r="AK99" s="247"/>
      <c r="AL99" s="247"/>
      <c r="AM99" s="247"/>
      <c r="AN99" s="247"/>
      <c r="AO99" s="247"/>
      <c r="AP99" s="150"/>
      <c r="AQ99" s="177">
        <f>IF(J99&lt;&gt;"",1,0)</f>
        <v>0</v>
      </c>
      <c r="AR99" s="148"/>
      <c r="AS99" s="148"/>
    </row>
    <row r="100" spans="2:45" x14ac:dyDescent="0.2">
      <c r="C100" s="170"/>
      <c r="D100" s="170"/>
      <c r="E100" s="174"/>
      <c r="F100" s="179"/>
      <c r="G100" s="174"/>
      <c r="H100" s="170"/>
      <c r="I100" s="180"/>
      <c r="J100" s="175"/>
      <c r="K100" s="175"/>
      <c r="L100" s="175"/>
      <c r="M100" s="175"/>
      <c r="N100" s="175"/>
      <c r="O100" s="175"/>
      <c r="P100" s="175"/>
      <c r="Q100" s="175"/>
      <c r="R100" s="175"/>
      <c r="S100" s="175"/>
      <c r="T100" s="175"/>
      <c r="U100" s="175"/>
      <c r="V100" s="170"/>
      <c r="W100" s="170"/>
      <c r="X100" s="178"/>
      <c r="Y100" s="178"/>
      <c r="Z100" s="178"/>
      <c r="AA100" s="178"/>
      <c r="AB100" s="178"/>
      <c r="AC100" s="178"/>
      <c r="AD100" s="178"/>
      <c r="AE100" s="178"/>
      <c r="AF100" s="178"/>
      <c r="AG100" s="178"/>
      <c r="AH100" s="178"/>
      <c r="AI100" s="178"/>
      <c r="AJ100" s="178"/>
      <c r="AK100" s="178"/>
      <c r="AL100" s="178"/>
      <c r="AM100" s="178"/>
      <c r="AN100" s="178"/>
      <c r="AO100" s="178"/>
      <c r="AP100" s="150"/>
      <c r="AQ100" s="148"/>
      <c r="AR100" s="148"/>
      <c r="AS100" s="148"/>
    </row>
    <row r="101" spans="2:45" ht="15.6" thickBot="1" x14ac:dyDescent="0.25">
      <c r="C101" s="148"/>
      <c r="D101" s="148"/>
      <c r="E101" s="181"/>
      <c r="F101" s="182"/>
      <c r="G101" s="181"/>
      <c r="H101" s="181"/>
      <c r="I101" s="183"/>
      <c r="J101" s="177"/>
      <c r="K101" s="177"/>
      <c r="L101" s="177"/>
      <c r="M101" s="177"/>
      <c r="N101" s="177"/>
      <c r="O101" s="177"/>
      <c r="P101" s="177"/>
      <c r="Q101" s="177"/>
      <c r="R101" s="177"/>
      <c r="S101" s="177"/>
      <c r="T101" s="177"/>
      <c r="U101" s="177"/>
      <c r="V101" s="177"/>
      <c r="W101" s="148"/>
      <c r="X101" s="178"/>
      <c r="Y101" s="178"/>
      <c r="Z101" s="178"/>
      <c r="AA101" s="178"/>
      <c r="AB101" s="178"/>
      <c r="AC101" s="178"/>
      <c r="AD101" s="178"/>
      <c r="AE101" s="178"/>
      <c r="AF101" s="178"/>
      <c r="AG101" s="178"/>
      <c r="AH101" s="178"/>
      <c r="AI101" s="178"/>
      <c r="AJ101" s="178"/>
      <c r="AK101" s="178"/>
      <c r="AL101" s="178"/>
      <c r="AM101" s="178"/>
      <c r="AN101" s="178"/>
      <c r="AO101" s="178"/>
      <c r="AP101" s="150"/>
      <c r="AQ101" s="148"/>
      <c r="AR101" s="148"/>
      <c r="AS101" s="148"/>
    </row>
    <row r="102" spans="2:45" ht="18" customHeight="1" thickBot="1" x14ac:dyDescent="0.25">
      <c r="B102" s="145">
        <v>2</v>
      </c>
      <c r="C102" s="148"/>
      <c r="D102" s="184" t="s">
        <v>48</v>
      </c>
      <c r="E102" s="185" t="s">
        <v>506</v>
      </c>
      <c r="F102" s="100"/>
      <c r="G102" s="148"/>
      <c r="H102" s="181"/>
      <c r="I102" s="186"/>
      <c r="J102" s="218" t="str">
        <f>IFERROR(VLOOKUP($F102,補助対象研修一覧!$A$2:$K$224,2,FALSE),"")</f>
        <v/>
      </c>
      <c r="K102" s="219"/>
      <c r="L102" s="219"/>
      <c r="M102" s="219"/>
      <c r="N102" s="219"/>
      <c r="O102" s="219"/>
      <c r="P102" s="220"/>
      <c r="Q102" s="177"/>
      <c r="R102" s="177"/>
      <c r="S102" s="177"/>
      <c r="T102" s="177"/>
      <c r="U102" s="177"/>
      <c r="V102" s="177"/>
      <c r="W102" s="148"/>
      <c r="X102" s="247" t="str">
        <f>IF($B102&lt;=入力シート!$F$22,""&amp;中間シート!X190,"")</f>
        <v/>
      </c>
      <c r="Y102" s="247"/>
      <c r="Z102" s="247"/>
      <c r="AA102" s="247"/>
      <c r="AB102" s="247"/>
      <c r="AC102" s="247"/>
      <c r="AD102" s="247"/>
      <c r="AE102" s="247"/>
      <c r="AF102" s="247"/>
      <c r="AG102" s="247"/>
      <c r="AH102" s="247"/>
      <c r="AI102" s="247"/>
      <c r="AJ102" s="247"/>
      <c r="AK102" s="247"/>
      <c r="AL102" s="247"/>
      <c r="AM102" s="247"/>
      <c r="AN102" s="247"/>
      <c r="AO102" s="247"/>
      <c r="AP102" s="150"/>
      <c r="AQ102" s="177">
        <f>IF(J102&lt;&gt;"",1,0)</f>
        <v>0</v>
      </c>
      <c r="AR102" s="148">
        <f>IF(H102&lt;&gt;"",1,0)</f>
        <v>0</v>
      </c>
      <c r="AS102" s="148"/>
    </row>
    <row r="103" spans="2:45" ht="5.0999999999999996" customHeight="1" thickBot="1" x14ac:dyDescent="0.25">
      <c r="C103" s="148"/>
      <c r="D103" s="148"/>
      <c r="E103" s="181"/>
      <c r="F103" s="177"/>
      <c r="G103" s="181"/>
      <c r="H103" s="181"/>
      <c r="I103" s="186"/>
      <c r="J103" s="177"/>
      <c r="K103" s="177"/>
      <c r="L103" s="177"/>
      <c r="M103" s="177"/>
      <c r="N103" s="177"/>
      <c r="O103" s="177"/>
      <c r="P103" s="177"/>
      <c r="Q103" s="177"/>
      <c r="R103" s="177"/>
      <c r="S103" s="177"/>
      <c r="T103" s="177"/>
      <c r="U103" s="177"/>
      <c r="V103" s="177"/>
      <c r="W103" s="148"/>
      <c r="X103" s="178" t="s">
        <v>79</v>
      </c>
      <c r="Y103" s="178"/>
      <c r="Z103" s="178"/>
      <c r="AA103" s="178"/>
      <c r="AB103" s="178"/>
      <c r="AC103" s="178"/>
      <c r="AD103" s="178"/>
      <c r="AE103" s="178"/>
      <c r="AF103" s="178"/>
      <c r="AG103" s="178"/>
      <c r="AH103" s="178"/>
      <c r="AI103" s="178"/>
      <c r="AJ103" s="178"/>
      <c r="AK103" s="178"/>
      <c r="AL103" s="178"/>
      <c r="AM103" s="178"/>
      <c r="AN103" s="178"/>
      <c r="AO103" s="178"/>
      <c r="AP103" s="150"/>
      <c r="AQ103" s="148"/>
      <c r="AR103" s="148"/>
      <c r="AS103" s="148"/>
    </row>
    <row r="104" spans="2:45" ht="18" customHeight="1" thickBot="1" x14ac:dyDescent="0.25">
      <c r="B104" s="145">
        <v>2</v>
      </c>
      <c r="C104" s="148"/>
      <c r="D104" s="148"/>
      <c r="E104" s="185" t="s">
        <v>507</v>
      </c>
      <c r="F104" s="100"/>
      <c r="G104" s="181"/>
      <c r="H104" s="181"/>
      <c r="I104" s="186"/>
      <c r="J104" s="218" t="str">
        <f>IFERROR(VLOOKUP($F104,補助対象研修一覧!$A$2:$K$224,2,FALSE),"")</f>
        <v/>
      </c>
      <c r="K104" s="219"/>
      <c r="L104" s="219"/>
      <c r="M104" s="219"/>
      <c r="N104" s="219"/>
      <c r="O104" s="219"/>
      <c r="P104" s="220"/>
      <c r="Q104" s="177"/>
      <c r="R104" s="177"/>
      <c r="S104" s="177"/>
      <c r="T104" s="177"/>
      <c r="U104" s="177"/>
      <c r="V104" s="177"/>
      <c r="W104" s="148"/>
      <c r="X104" s="247" t="str">
        <f>IF($B104&lt;=入力シート!$F$22,""&amp;中間シート!X191,"")</f>
        <v/>
      </c>
      <c r="Y104" s="247"/>
      <c r="Z104" s="247"/>
      <c r="AA104" s="247"/>
      <c r="AB104" s="247"/>
      <c r="AC104" s="247"/>
      <c r="AD104" s="247"/>
      <c r="AE104" s="247"/>
      <c r="AF104" s="247"/>
      <c r="AG104" s="247"/>
      <c r="AH104" s="247"/>
      <c r="AI104" s="247"/>
      <c r="AJ104" s="247"/>
      <c r="AK104" s="247"/>
      <c r="AL104" s="247"/>
      <c r="AM104" s="247"/>
      <c r="AN104" s="247"/>
      <c r="AO104" s="247"/>
      <c r="AP104" s="150"/>
      <c r="AQ104" s="177">
        <f>IF(J104&lt;&gt;"",1,0)</f>
        <v>0</v>
      </c>
      <c r="AR104" s="148">
        <f>IF(H104&lt;&gt;"",1,0)</f>
        <v>0</v>
      </c>
      <c r="AS104" s="148"/>
    </row>
    <row r="105" spans="2:45" ht="5.0999999999999996" customHeight="1" thickBot="1" x14ac:dyDescent="0.25">
      <c r="C105" s="148"/>
      <c r="D105" s="148"/>
      <c r="E105" s="185"/>
      <c r="F105" s="182"/>
      <c r="G105" s="181"/>
      <c r="H105" s="181"/>
      <c r="I105" s="186"/>
      <c r="J105" s="182"/>
      <c r="K105" s="182"/>
      <c r="L105" s="182"/>
      <c r="M105" s="177"/>
      <c r="N105" s="182"/>
      <c r="O105" s="182"/>
      <c r="P105" s="182"/>
      <c r="Q105" s="177"/>
      <c r="R105" s="177"/>
      <c r="S105" s="177"/>
      <c r="T105" s="177"/>
      <c r="U105" s="177"/>
      <c r="V105" s="177"/>
      <c r="W105" s="148"/>
      <c r="X105" s="178" t="s">
        <v>79</v>
      </c>
      <c r="Y105" s="178"/>
      <c r="Z105" s="178"/>
      <c r="AA105" s="178"/>
      <c r="AB105" s="178"/>
      <c r="AC105" s="178"/>
      <c r="AD105" s="178"/>
      <c r="AE105" s="178"/>
      <c r="AF105" s="178"/>
      <c r="AG105" s="178"/>
      <c r="AH105" s="178"/>
      <c r="AI105" s="178"/>
      <c r="AJ105" s="178"/>
      <c r="AK105" s="178"/>
      <c r="AL105" s="178"/>
      <c r="AM105" s="178"/>
      <c r="AN105" s="178"/>
      <c r="AO105" s="178"/>
      <c r="AP105" s="150"/>
      <c r="AQ105" s="148"/>
      <c r="AR105" s="148"/>
      <c r="AS105" s="148"/>
    </row>
    <row r="106" spans="2:45" ht="18" customHeight="1" thickBot="1" x14ac:dyDescent="0.25">
      <c r="B106" s="145">
        <v>2</v>
      </c>
      <c r="C106" s="148"/>
      <c r="D106" s="148"/>
      <c r="E106" s="185" t="s">
        <v>508</v>
      </c>
      <c r="F106" s="100"/>
      <c r="G106" s="181"/>
      <c r="H106" s="181"/>
      <c r="I106" s="186"/>
      <c r="J106" s="218" t="str">
        <f>IFERROR(VLOOKUP($F106,補助対象研修一覧!$A$2:$K$224,2,FALSE),"")</f>
        <v/>
      </c>
      <c r="K106" s="219"/>
      <c r="L106" s="219"/>
      <c r="M106" s="219"/>
      <c r="N106" s="219"/>
      <c r="O106" s="219"/>
      <c r="P106" s="220"/>
      <c r="Q106" s="177"/>
      <c r="R106" s="177"/>
      <c r="S106" s="177"/>
      <c r="T106" s="177"/>
      <c r="U106" s="177"/>
      <c r="V106" s="177"/>
      <c r="W106" s="148"/>
      <c r="X106" s="247" t="str">
        <f>IF($B106&lt;=入力シート!$F$22,""&amp;中間シート!X192,"")</f>
        <v/>
      </c>
      <c r="Y106" s="247"/>
      <c r="Z106" s="247"/>
      <c r="AA106" s="247"/>
      <c r="AB106" s="247"/>
      <c r="AC106" s="247"/>
      <c r="AD106" s="247"/>
      <c r="AE106" s="247"/>
      <c r="AF106" s="247"/>
      <c r="AG106" s="247"/>
      <c r="AH106" s="247"/>
      <c r="AI106" s="247"/>
      <c r="AJ106" s="247"/>
      <c r="AK106" s="247"/>
      <c r="AL106" s="247"/>
      <c r="AM106" s="247"/>
      <c r="AN106" s="247"/>
      <c r="AO106" s="247"/>
      <c r="AP106" s="150"/>
      <c r="AQ106" s="177">
        <f>IF(J106&lt;&gt;"",1,0)</f>
        <v>0</v>
      </c>
      <c r="AR106" s="148">
        <f>IF(H106&lt;&gt;"",1,0)</f>
        <v>0</v>
      </c>
      <c r="AS106" s="148"/>
    </row>
    <row r="107" spans="2:45" x14ac:dyDescent="0.2">
      <c r="C107" s="148"/>
      <c r="D107" s="148"/>
      <c r="E107" s="181"/>
      <c r="F107" s="182"/>
      <c r="G107" s="181"/>
      <c r="H107" s="181"/>
      <c r="I107" s="183"/>
      <c r="J107" s="177"/>
      <c r="K107" s="177"/>
      <c r="L107" s="177"/>
      <c r="M107" s="177"/>
      <c r="N107" s="177"/>
      <c r="O107" s="177"/>
      <c r="P107" s="177"/>
      <c r="Q107" s="177"/>
      <c r="R107" s="177"/>
      <c r="S107" s="177"/>
      <c r="T107" s="177"/>
      <c r="U107" s="177"/>
      <c r="V107" s="177"/>
      <c r="W107" s="148"/>
      <c r="X107" s="178" t="s">
        <v>79</v>
      </c>
      <c r="Y107" s="178"/>
      <c r="Z107" s="178"/>
      <c r="AA107" s="178"/>
      <c r="AB107" s="178"/>
      <c r="AC107" s="178"/>
      <c r="AD107" s="178"/>
      <c r="AE107" s="178"/>
      <c r="AF107" s="178"/>
      <c r="AG107" s="178"/>
      <c r="AH107" s="178"/>
      <c r="AI107" s="178"/>
      <c r="AJ107" s="178"/>
      <c r="AK107" s="178"/>
      <c r="AL107" s="178"/>
      <c r="AM107" s="178"/>
      <c r="AN107" s="178"/>
      <c r="AO107" s="178"/>
      <c r="AP107" s="150"/>
      <c r="AQ107" s="148"/>
      <c r="AR107" s="148"/>
      <c r="AS107" s="148"/>
    </row>
    <row r="108" spans="2:45" ht="15.6" thickBot="1" x14ac:dyDescent="0.25">
      <c r="C108" s="170"/>
      <c r="D108" s="170"/>
      <c r="E108" s="174"/>
      <c r="F108" s="179"/>
      <c r="G108" s="174"/>
      <c r="H108" s="174"/>
      <c r="I108" s="180"/>
      <c r="J108" s="175"/>
      <c r="K108" s="175"/>
      <c r="L108" s="175"/>
      <c r="M108" s="175"/>
      <c r="N108" s="175"/>
      <c r="O108" s="175"/>
      <c r="P108" s="175"/>
      <c r="Q108" s="175"/>
      <c r="R108" s="174"/>
      <c r="S108" s="174"/>
      <c r="T108" s="174"/>
      <c r="U108" s="174"/>
      <c r="V108" s="174"/>
      <c r="W108" s="170"/>
      <c r="X108" s="178" t="s">
        <v>79</v>
      </c>
      <c r="Y108" s="178"/>
      <c r="Z108" s="178"/>
      <c r="AA108" s="178"/>
      <c r="AB108" s="178"/>
      <c r="AC108" s="178"/>
      <c r="AD108" s="178"/>
      <c r="AE108" s="178"/>
      <c r="AF108" s="178"/>
      <c r="AG108" s="178"/>
      <c r="AH108" s="178"/>
      <c r="AI108" s="178"/>
      <c r="AJ108" s="178"/>
      <c r="AK108" s="178"/>
      <c r="AL108" s="178"/>
      <c r="AM108" s="178"/>
      <c r="AN108" s="178"/>
      <c r="AO108" s="178"/>
      <c r="AP108" s="150"/>
      <c r="AQ108" s="148"/>
      <c r="AR108" s="148"/>
      <c r="AS108" s="148"/>
    </row>
    <row r="109" spans="2:45" ht="18" customHeight="1" thickBot="1" x14ac:dyDescent="0.25">
      <c r="B109" s="145">
        <v>3</v>
      </c>
      <c r="C109" s="170"/>
      <c r="D109" s="171" t="s">
        <v>49</v>
      </c>
      <c r="E109" s="172" t="s">
        <v>506</v>
      </c>
      <c r="F109" s="100"/>
      <c r="G109" s="170"/>
      <c r="H109" s="174"/>
      <c r="I109" s="173"/>
      <c r="J109" s="218" t="str">
        <f>IFERROR(VLOOKUP($F109,補助対象研修一覧!$A$2:$K$224,2,FALSE),"")</f>
        <v/>
      </c>
      <c r="K109" s="219"/>
      <c r="L109" s="219"/>
      <c r="M109" s="219"/>
      <c r="N109" s="219"/>
      <c r="O109" s="219"/>
      <c r="P109" s="220"/>
      <c r="Q109" s="175"/>
      <c r="R109" s="174"/>
      <c r="S109" s="174"/>
      <c r="T109" s="174"/>
      <c r="U109" s="174"/>
      <c r="V109" s="174"/>
      <c r="W109" s="170"/>
      <c r="X109" s="247" t="str">
        <f>IF($B109&lt;=入力シート!$F$22,""&amp;中間シート!X193,"")</f>
        <v/>
      </c>
      <c r="Y109" s="247"/>
      <c r="Z109" s="247"/>
      <c r="AA109" s="247"/>
      <c r="AB109" s="247"/>
      <c r="AC109" s="247"/>
      <c r="AD109" s="247"/>
      <c r="AE109" s="247"/>
      <c r="AF109" s="247"/>
      <c r="AG109" s="247"/>
      <c r="AH109" s="247"/>
      <c r="AI109" s="247"/>
      <c r="AJ109" s="247"/>
      <c r="AK109" s="247"/>
      <c r="AL109" s="247"/>
      <c r="AM109" s="247"/>
      <c r="AN109" s="247"/>
      <c r="AO109" s="247"/>
      <c r="AP109" s="150"/>
      <c r="AQ109" s="177">
        <f>IF(J109&lt;&gt;"",1,0)</f>
        <v>0</v>
      </c>
      <c r="AR109" s="148">
        <f>IF(H109&lt;&gt;"",1,0)</f>
        <v>0</v>
      </c>
      <c r="AS109" s="148"/>
    </row>
    <row r="110" spans="2:45" ht="5.0999999999999996" customHeight="1" thickBot="1" x14ac:dyDescent="0.25">
      <c r="C110" s="170"/>
      <c r="D110" s="170"/>
      <c r="E110" s="174"/>
      <c r="F110" s="175"/>
      <c r="G110" s="174"/>
      <c r="H110" s="174"/>
      <c r="I110" s="173"/>
      <c r="J110" s="175"/>
      <c r="K110" s="175"/>
      <c r="L110" s="175"/>
      <c r="M110" s="175"/>
      <c r="N110" s="175"/>
      <c r="O110" s="175"/>
      <c r="P110" s="175"/>
      <c r="Q110" s="175"/>
      <c r="R110" s="174"/>
      <c r="S110" s="174"/>
      <c r="T110" s="174"/>
      <c r="U110" s="174"/>
      <c r="V110" s="174"/>
      <c r="W110" s="170"/>
      <c r="X110" s="178" t="s">
        <v>79</v>
      </c>
      <c r="Y110" s="178"/>
      <c r="Z110" s="178"/>
      <c r="AA110" s="178"/>
      <c r="AB110" s="178"/>
      <c r="AC110" s="178"/>
      <c r="AD110" s="178"/>
      <c r="AE110" s="178"/>
      <c r="AF110" s="178"/>
      <c r="AG110" s="178"/>
      <c r="AH110" s="178"/>
      <c r="AI110" s="178"/>
      <c r="AJ110" s="178"/>
      <c r="AK110" s="178"/>
      <c r="AL110" s="178"/>
      <c r="AM110" s="178"/>
      <c r="AN110" s="178"/>
      <c r="AO110" s="178"/>
      <c r="AP110" s="150"/>
      <c r="AQ110" s="148"/>
      <c r="AR110" s="148"/>
      <c r="AS110" s="148"/>
    </row>
    <row r="111" spans="2:45" ht="18" customHeight="1" thickBot="1" x14ac:dyDescent="0.25">
      <c r="B111" s="145">
        <v>3</v>
      </c>
      <c r="C111" s="170"/>
      <c r="D111" s="170"/>
      <c r="E111" s="172" t="s">
        <v>507</v>
      </c>
      <c r="F111" s="100"/>
      <c r="G111" s="174"/>
      <c r="H111" s="174"/>
      <c r="I111" s="173"/>
      <c r="J111" s="218" t="str">
        <f>IFERROR(VLOOKUP($F111,補助対象研修一覧!$A$2:$K$224,2,FALSE),"")</f>
        <v/>
      </c>
      <c r="K111" s="219"/>
      <c r="L111" s="219"/>
      <c r="M111" s="219"/>
      <c r="N111" s="219"/>
      <c r="O111" s="219"/>
      <c r="P111" s="220"/>
      <c r="Q111" s="175"/>
      <c r="R111" s="174"/>
      <c r="S111" s="174"/>
      <c r="T111" s="174"/>
      <c r="U111" s="174"/>
      <c r="V111" s="174"/>
      <c r="W111" s="170"/>
      <c r="X111" s="247" t="str">
        <f>IF($B111&lt;=入力シート!$F$22,""&amp;中間シート!X194,"")</f>
        <v/>
      </c>
      <c r="Y111" s="247"/>
      <c r="Z111" s="247"/>
      <c r="AA111" s="247"/>
      <c r="AB111" s="247"/>
      <c r="AC111" s="247"/>
      <c r="AD111" s="247"/>
      <c r="AE111" s="247"/>
      <c r="AF111" s="247"/>
      <c r="AG111" s="247"/>
      <c r="AH111" s="247"/>
      <c r="AI111" s="247"/>
      <c r="AJ111" s="247"/>
      <c r="AK111" s="247"/>
      <c r="AL111" s="247"/>
      <c r="AM111" s="247"/>
      <c r="AN111" s="247"/>
      <c r="AO111" s="247"/>
      <c r="AP111" s="150"/>
      <c r="AQ111" s="177">
        <f>IF(J111&lt;&gt;"",1,0)</f>
        <v>0</v>
      </c>
      <c r="AR111" s="148">
        <f>IF(H111&lt;&gt;"",1,0)</f>
        <v>0</v>
      </c>
      <c r="AS111" s="148"/>
    </row>
    <row r="112" spans="2:45" ht="5.0999999999999996" customHeight="1" thickBot="1" x14ac:dyDescent="0.25">
      <c r="C112" s="170"/>
      <c r="D112" s="170"/>
      <c r="E112" s="172"/>
      <c r="F112" s="179"/>
      <c r="G112" s="174"/>
      <c r="H112" s="174"/>
      <c r="I112" s="173"/>
      <c r="J112" s="179"/>
      <c r="K112" s="179"/>
      <c r="L112" s="179"/>
      <c r="M112" s="175"/>
      <c r="N112" s="179"/>
      <c r="O112" s="179"/>
      <c r="P112" s="179"/>
      <c r="Q112" s="175"/>
      <c r="R112" s="174"/>
      <c r="S112" s="174"/>
      <c r="T112" s="174"/>
      <c r="U112" s="174"/>
      <c r="V112" s="174"/>
      <c r="W112" s="170"/>
      <c r="X112" s="178" t="s">
        <v>79</v>
      </c>
      <c r="Y112" s="178"/>
      <c r="Z112" s="178"/>
      <c r="AA112" s="178"/>
      <c r="AB112" s="178"/>
      <c r="AC112" s="178"/>
      <c r="AD112" s="178"/>
      <c r="AE112" s="178"/>
      <c r="AF112" s="178"/>
      <c r="AG112" s="178"/>
      <c r="AH112" s="178"/>
      <c r="AI112" s="178"/>
      <c r="AJ112" s="178"/>
      <c r="AK112" s="178"/>
      <c r="AL112" s="178"/>
      <c r="AM112" s="178"/>
      <c r="AN112" s="178"/>
      <c r="AO112" s="178"/>
      <c r="AP112" s="150"/>
      <c r="AQ112" s="148"/>
      <c r="AR112" s="148"/>
      <c r="AS112" s="148"/>
    </row>
    <row r="113" spans="2:45" ht="18" customHeight="1" thickBot="1" x14ac:dyDescent="0.25">
      <c r="B113" s="145">
        <v>3</v>
      </c>
      <c r="C113" s="170"/>
      <c r="D113" s="170"/>
      <c r="E113" s="172" t="s">
        <v>508</v>
      </c>
      <c r="F113" s="100"/>
      <c r="G113" s="174"/>
      <c r="H113" s="174"/>
      <c r="I113" s="173"/>
      <c r="J113" s="218" t="str">
        <f>IFERROR(VLOOKUP($F113,補助対象研修一覧!$A$2:$K$224,2,FALSE),"")</f>
        <v/>
      </c>
      <c r="K113" s="219"/>
      <c r="L113" s="219"/>
      <c r="M113" s="219"/>
      <c r="N113" s="219"/>
      <c r="O113" s="219"/>
      <c r="P113" s="220"/>
      <c r="Q113" s="175"/>
      <c r="R113" s="174"/>
      <c r="S113" s="174"/>
      <c r="T113" s="174"/>
      <c r="U113" s="174"/>
      <c r="V113" s="174"/>
      <c r="W113" s="170"/>
      <c r="X113" s="247" t="str">
        <f>IF($B113&lt;=入力シート!$F$22,""&amp;中間シート!X195,"")</f>
        <v/>
      </c>
      <c r="Y113" s="247"/>
      <c r="Z113" s="247"/>
      <c r="AA113" s="247"/>
      <c r="AB113" s="247"/>
      <c r="AC113" s="247"/>
      <c r="AD113" s="247"/>
      <c r="AE113" s="247"/>
      <c r="AF113" s="247"/>
      <c r="AG113" s="247"/>
      <c r="AH113" s="247"/>
      <c r="AI113" s="247"/>
      <c r="AJ113" s="247"/>
      <c r="AK113" s="247"/>
      <c r="AL113" s="247"/>
      <c r="AM113" s="247"/>
      <c r="AN113" s="247"/>
      <c r="AO113" s="247"/>
      <c r="AP113" s="150"/>
      <c r="AQ113" s="177">
        <f>IF(J113&lt;&gt;"",1,0)</f>
        <v>0</v>
      </c>
      <c r="AR113" s="148">
        <f>IF(H113&lt;&gt;"",1,0)</f>
        <v>0</v>
      </c>
      <c r="AS113" s="148"/>
    </row>
    <row r="114" spans="2:45" x14ac:dyDescent="0.2">
      <c r="C114" s="170"/>
      <c r="D114" s="170"/>
      <c r="E114" s="174"/>
      <c r="F114" s="179"/>
      <c r="G114" s="174"/>
      <c r="H114" s="174"/>
      <c r="I114" s="180"/>
      <c r="J114" s="175"/>
      <c r="K114" s="175"/>
      <c r="L114" s="175"/>
      <c r="M114" s="175"/>
      <c r="N114" s="175"/>
      <c r="O114" s="175"/>
      <c r="P114" s="175"/>
      <c r="Q114" s="175"/>
      <c r="R114" s="175"/>
      <c r="S114" s="175"/>
      <c r="T114" s="175"/>
      <c r="U114" s="175"/>
      <c r="V114" s="175"/>
      <c r="W114" s="170"/>
      <c r="X114" s="178" t="s">
        <v>79</v>
      </c>
      <c r="Y114" s="178"/>
      <c r="Z114" s="178"/>
      <c r="AA114" s="178"/>
      <c r="AB114" s="178"/>
      <c r="AC114" s="178"/>
      <c r="AD114" s="178"/>
      <c r="AE114" s="178"/>
      <c r="AF114" s="178"/>
      <c r="AG114" s="178"/>
      <c r="AH114" s="178"/>
      <c r="AI114" s="178"/>
      <c r="AJ114" s="178"/>
      <c r="AK114" s="178"/>
      <c r="AL114" s="178"/>
      <c r="AM114" s="178"/>
      <c r="AN114" s="178"/>
      <c r="AO114" s="178"/>
      <c r="AP114" s="150"/>
      <c r="AQ114" s="148"/>
      <c r="AR114" s="148"/>
      <c r="AS114" s="148"/>
    </row>
    <row r="115" spans="2:45" ht="15.6" thickBot="1" x14ac:dyDescent="0.25">
      <c r="C115" s="148"/>
      <c r="D115" s="148"/>
      <c r="E115" s="181"/>
      <c r="F115" s="182"/>
      <c r="G115" s="181"/>
      <c r="H115" s="181"/>
      <c r="I115" s="183"/>
      <c r="J115" s="177"/>
      <c r="K115" s="177"/>
      <c r="L115" s="177"/>
      <c r="M115" s="177"/>
      <c r="N115" s="177"/>
      <c r="O115" s="177"/>
      <c r="P115" s="177"/>
      <c r="Q115" s="177"/>
      <c r="R115" s="181"/>
      <c r="S115" s="181"/>
      <c r="T115" s="181"/>
      <c r="U115" s="181"/>
      <c r="V115" s="181"/>
      <c r="W115" s="148"/>
      <c r="X115" s="178" t="s">
        <v>79</v>
      </c>
      <c r="Y115" s="178"/>
      <c r="Z115" s="178"/>
      <c r="AA115" s="178"/>
      <c r="AB115" s="178"/>
      <c r="AC115" s="178"/>
      <c r="AD115" s="178"/>
      <c r="AE115" s="178"/>
      <c r="AF115" s="178"/>
      <c r="AG115" s="178"/>
      <c r="AH115" s="178"/>
      <c r="AI115" s="178"/>
      <c r="AJ115" s="178"/>
      <c r="AK115" s="178"/>
      <c r="AL115" s="178"/>
      <c r="AM115" s="178"/>
      <c r="AN115" s="178"/>
      <c r="AO115" s="178"/>
      <c r="AP115" s="150"/>
      <c r="AQ115" s="148"/>
      <c r="AR115" s="148"/>
      <c r="AS115" s="148"/>
    </row>
    <row r="116" spans="2:45" ht="18" customHeight="1" thickBot="1" x14ac:dyDescent="0.25">
      <c r="B116" s="145">
        <v>4</v>
      </c>
      <c r="C116" s="148"/>
      <c r="D116" s="184" t="s">
        <v>50</v>
      </c>
      <c r="E116" s="185" t="s">
        <v>506</v>
      </c>
      <c r="F116" s="100"/>
      <c r="G116" s="148"/>
      <c r="H116" s="181"/>
      <c r="I116" s="186"/>
      <c r="J116" s="218" t="str">
        <f>IFERROR(VLOOKUP($F116,補助対象研修一覧!$A$2:$K$224,2,FALSE),"")</f>
        <v/>
      </c>
      <c r="K116" s="219"/>
      <c r="L116" s="219"/>
      <c r="M116" s="219"/>
      <c r="N116" s="219"/>
      <c r="O116" s="219"/>
      <c r="P116" s="220"/>
      <c r="Q116" s="177"/>
      <c r="R116" s="181"/>
      <c r="S116" s="181"/>
      <c r="T116" s="181"/>
      <c r="U116" s="181"/>
      <c r="V116" s="181"/>
      <c r="W116" s="148"/>
      <c r="X116" s="247" t="str">
        <f>IF($B116&lt;=入力シート!$F$22,""&amp;中間シート!X196,"")</f>
        <v/>
      </c>
      <c r="Y116" s="247"/>
      <c r="Z116" s="247"/>
      <c r="AA116" s="247"/>
      <c r="AB116" s="247"/>
      <c r="AC116" s="247"/>
      <c r="AD116" s="247"/>
      <c r="AE116" s="247"/>
      <c r="AF116" s="247"/>
      <c r="AG116" s="247"/>
      <c r="AH116" s="247"/>
      <c r="AI116" s="247"/>
      <c r="AJ116" s="247"/>
      <c r="AK116" s="247"/>
      <c r="AL116" s="247"/>
      <c r="AM116" s="247"/>
      <c r="AN116" s="247"/>
      <c r="AO116" s="247"/>
      <c r="AP116" s="150"/>
      <c r="AQ116" s="177">
        <f>IF(J116&lt;&gt;"",1,0)</f>
        <v>0</v>
      </c>
      <c r="AR116" s="148">
        <f>IF(H116&lt;&gt;"",1,0)</f>
        <v>0</v>
      </c>
      <c r="AS116" s="148"/>
    </row>
    <row r="117" spans="2:45" ht="5.0999999999999996" customHeight="1" thickBot="1" x14ac:dyDescent="0.25">
      <c r="C117" s="148"/>
      <c r="D117" s="148"/>
      <c r="E117" s="181"/>
      <c r="F117" s="177"/>
      <c r="G117" s="181"/>
      <c r="H117" s="181"/>
      <c r="I117" s="186"/>
      <c r="J117" s="177"/>
      <c r="K117" s="177"/>
      <c r="L117" s="177"/>
      <c r="M117" s="177"/>
      <c r="N117" s="177"/>
      <c r="O117" s="177"/>
      <c r="P117" s="177"/>
      <c r="Q117" s="177"/>
      <c r="R117" s="181"/>
      <c r="S117" s="181"/>
      <c r="T117" s="181"/>
      <c r="U117" s="181"/>
      <c r="V117" s="181"/>
      <c r="W117" s="148"/>
      <c r="X117" s="178" t="s">
        <v>79</v>
      </c>
      <c r="Y117" s="178"/>
      <c r="Z117" s="178"/>
      <c r="AA117" s="178"/>
      <c r="AB117" s="178"/>
      <c r="AC117" s="178"/>
      <c r="AD117" s="178"/>
      <c r="AE117" s="178"/>
      <c r="AF117" s="178"/>
      <c r="AG117" s="178"/>
      <c r="AH117" s="178"/>
      <c r="AI117" s="178"/>
      <c r="AJ117" s="178"/>
      <c r="AK117" s="178"/>
      <c r="AL117" s="178"/>
      <c r="AM117" s="178"/>
      <c r="AN117" s="178"/>
      <c r="AO117" s="178"/>
      <c r="AP117" s="150"/>
      <c r="AQ117" s="148"/>
      <c r="AR117" s="148"/>
      <c r="AS117" s="148"/>
    </row>
    <row r="118" spans="2:45" ht="18" customHeight="1" thickBot="1" x14ac:dyDescent="0.25">
      <c r="B118" s="145">
        <v>4</v>
      </c>
      <c r="C118" s="148"/>
      <c r="D118" s="148"/>
      <c r="E118" s="185" t="s">
        <v>507</v>
      </c>
      <c r="F118" s="100"/>
      <c r="G118" s="181"/>
      <c r="H118" s="181"/>
      <c r="I118" s="186"/>
      <c r="J118" s="218" t="str">
        <f>IFERROR(VLOOKUP($F118,補助対象研修一覧!$A$2:$K$224,2,FALSE),"")</f>
        <v/>
      </c>
      <c r="K118" s="219"/>
      <c r="L118" s="219"/>
      <c r="M118" s="219"/>
      <c r="N118" s="219"/>
      <c r="O118" s="219"/>
      <c r="P118" s="220"/>
      <c r="Q118" s="177"/>
      <c r="R118" s="181"/>
      <c r="S118" s="181"/>
      <c r="T118" s="181"/>
      <c r="U118" s="181"/>
      <c r="V118" s="181"/>
      <c r="W118" s="148"/>
      <c r="X118" s="247" t="str">
        <f>IF($B118&lt;=入力シート!$F$22,""&amp;中間シート!X197,"")</f>
        <v/>
      </c>
      <c r="Y118" s="247"/>
      <c r="Z118" s="247"/>
      <c r="AA118" s="247"/>
      <c r="AB118" s="247"/>
      <c r="AC118" s="247"/>
      <c r="AD118" s="247"/>
      <c r="AE118" s="247"/>
      <c r="AF118" s="247"/>
      <c r="AG118" s="247"/>
      <c r="AH118" s="247"/>
      <c r="AI118" s="247"/>
      <c r="AJ118" s="247"/>
      <c r="AK118" s="247"/>
      <c r="AL118" s="247"/>
      <c r="AM118" s="247"/>
      <c r="AN118" s="247"/>
      <c r="AO118" s="247"/>
      <c r="AP118" s="150"/>
      <c r="AQ118" s="177">
        <f>IF(J118&lt;&gt;"",1,0)</f>
        <v>0</v>
      </c>
      <c r="AR118" s="148">
        <f>IF(H118&lt;&gt;"",1,0)</f>
        <v>0</v>
      </c>
      <c r="AS118" s="148"/>
    </row>
    <row r="119" spans="2:45" ht="5.0999999999999996" customHeight="1" thickBot="1" x14ac:dyDescent="0.25">
      <c r="C119" s="148"/>
      <c r="D119" s="148"/>
      <c r="E119" s="185"/>
      <c r="F119" s="182"/>
      <c r="G119" s="181"/>
      <c r="H119" s="181"/>
      <c r="I119" s="186"/>
      <c r="J119" s="182"/>
      <c r="K119" s="182"/>
      <c r="L119" s="182"/>
      <c r="M119" s="177"/>
      <c r="N119" s="182"/>
      <c r="O119" s="182"/>
      <c r="P119" s="182"/>
      <c r="Q119" s="177"/>
      <c r="R119" s="181"/>
      <c r="S119" s="181"/>
      <c r="T119" s="181"/>
      <c r="U119" s="181"/>
      <c r="V119" s="181"/>
      <c r="W119" s="148"/>
      <c r="X119" s="178" t="s">
        <v>79</v>
      </c>
      <c r="Y119" s="178"/>
      <c r="Z119" s="178"/>
      <c r="AA119" s="178"/>
      <c r="AB119" s="178"/>
      <c r="AC119" s="178"/>
      <c r="AD119" s="178"/>
      <c r="AE119" s="178"/>
      <c r="AF119" s="178"/>
      <c r="AG119" s="178"/>
      <c r="AH119" s="178"/>
      <c r="AI119" s="178"/>
      <c r="AJ119" s="178"/>
      <c r="AK119" s="178"/>
      <c r="AL119" s="178"/>
      <c r="AM119" s="178"/>
      <c r="AN119" s="178"/>
      <c r="AO119" s="178"/>
      <c r="AP119" s="150"/>
      <c r="AQ119" s="148"/>
      <c r="AR119" s="148"/>
      <c r="AS119" s="148"/>
    </row>
    <row r="120" spans="2:45" ht="18" customHeight="1" thickBot="1" x14ac:dyDescent="0.25">
      <c r="B120" s="145">
        <v>4</v>
      </c>
      <c r="C120" s="148"/>
      <c r="D120" s="148"/>
      <c r="E120" s="185" t="s">
        <v>508</v>
      </c>
      <c r="F120" s="100"/>
      <c r="G120" s="181"/>
      <c r="H120" s="181"/>
      <c r="I120" s="186"/>
      <c r="J120" s="218" t="str">
        <f>IFERROR(VLOOKUP($F120,補助対象研修一覧!$A$2:$K$224,2,FALSE),"")</f>
        <v/>
      </c>
      <c r="K120" s="219"/>
      <c r="L120" s="219"/>
      <c r="M120" s="219"/>
      <c r="N120" s="219"/>
      <c r="O120" s="219"/>
      <c r="P120" s="220"/>
      <c r="Q120" s="177"/>
      <c r="R120" s="181"/>
      <c r="S120" s="181"/>
      <c r="T120" s="181"/>
      <c r="U120" s="181"/>
      <c r="V120" s="181"/>
      <c r="W120" s="148"/>
      <c r="X120" s="247" t="str">
        <f>IF($B120&lt;=入力シート!$F$22,""&amp;中間シート!X198,"")</f>
        <v/>
      </c>
      <c r="Y120" s="247"/>
      <c r="Z120" s="247"/>
      <c r="AA120" s="247"/>
      <c r="AB120" s="247"/>
      <c r="AC120" s="247"/>
      <c r="AD120" s="247"/>
      <c r="AE120" s="247"/>
      <c r="AF120" s="247"/>
      <c r="AG120" s="247"/>
      <c r="AH120" s="247"/>
      <c r="AI120" s="247"/>
      <c r="AJ120" s="247"/>
      <c r="AK120" s="247"/>
      <c r="AL120" s="247"/>
      <c r="AM120" s="247"/>
      <c r="AN120" s="247"/>
      <c r="AO120" s="247"/>
      <c r="AP120" s="150"/>
      <c r="AQ120" s="177">
        <f>IF(J120&lt;&gt;"",1,0)</f>
        <v>0</v>
      </c>
      <c r="AR120" s="148">
        <f>IF(H120&lt;&gt;"",1,0)</f>
        <v>0</v>
      </c>
      <c r="AS120" s="148"/>
    </row>
    <row r="121" spans="2:45" x14ac:dyDescent="0.2">
      <c r="C121" s="148"/>
      <c r="D121" s="148"/>
      <c r="E121" s="181"/>
      <c r="F121" s="182"/>
      <c r="G121" s="181"/>
      <c r="H121" s="181"/>
      <c r="I121" s="183"/>
      <c r="J121" s="177"/>
      <c r="K121" s="177"/>
      <c r="L121" s="177"/>
      <c r="M121" s="177"/>
      <c r="N121" s="177"/>
      <c r="O121" s="177"/>
      <c r="P121" s="177"/>
      <c r="Q121" s="177"/>
      <c r="R121" s="181"/>
      <c r="S121" s="181"/>
      <c r="T121" s="181"/>
      <c r="U121" s="181"/>
      <c r="V121" s="181"/>
      <c r="W121" s="148"/>
      <c r="X121" s="178" t="s">
        <v>79</v>
      </c>
      <c r="Y121" s="178"/>
      <c r="Z121" s="178"/>
      <c r="AA121" s="178"/>
      <c r="AB121" s="178"/>
      <c r="AC121" s="178"/>
      <c r="AD121" s="178"/>
      <c r="AE121" s="178"/>
      <c r="AF121" s="178"/>
      <c r="AG121" s="178"/>
      <c r="AH121" s="178"/>
      <c r="AI121" s="178"/>
      <c r="AJ121" s="178"/>
      <c r="AK121" s="178"/>
      <c r="AL121" s="178"/>
      <c r="AM121" s="178"/>
      <c r="AN121" s="178"/>
      <c r="AO121" s="178"/>
      <c r="AP121" s="150"/>
      <c r="AQ121" s="148"/>
      <c r="AR121" s="148"/>
      <c r="AS121" s="148"/>
    </row>
    <row r="122" spans="2:45" ht="15.6" thickBot="1" x14ac:dyDescent="0.25">
      <c r="C122" s="170"/>
      <c r="D122" s="170"/>
      <c r="E122" s="174"/>
      <c r="F122" s="179"/>
      <c r="G122" s="174"/>
      <c r="H122" s="174"/>
      <c r="I122" s="180"/>
      <c r="J122" s="175"/>
      <c r="K122" s="175"/>
      <c r="L122" s="175"/>
      <c r="M122" s="175"/>
      <c r="N122" s="175"/>
      <c r="O122" s="175"/>
      <c r="P122" s="175"/>
      <c r="Q122" s="175"/>
      <c r="R122" s="174"/>
      <c r="S122" s="174"/>
      <c r="T122" s="174"/>
      <c r="U122" s="174"/>
      <c r="V122" s="174"/>
      <c r="W122" s="174"/>
      <c r="X122" s="178" t="s">
        <v>79</v>
      </c>
      <c r="Y122" s="178"/>
      <c r="Z122" s="178"/>
      <c r="AA122" s="178"/>
      <c r="AB122" s="178"/>
      <c r="AC122" s="178"/>
      <c r="AD122" s="178"/>
      <c r="AE122" s="178"/>
      <c r="AF122" s="178"/>
      <c r="AG122" s="178"/>
      <c r="AH122" s="178"/>
      <c r="AI122" s="178"/>
      <c r="AJ122" s="178"/>
      <c r="AK122" s="178"/>
      <c r="AL122" s="178"/>
      <c r="AM122" s="178"/>
      <c r="AN122" s="178"/>
      <c r="AO122" s="178"/>
      <c r="AP122" s="150"/>
      <c r="AQ122" s="148"/>
      <c r="AR122" s="148"/>
      <c r="AS122" s="148"/>
    </row>
    <row r="123" spans="2:45" ht="18" customHeight="1" thickBot="1" x14ac:dyDescent="0.25">
      <c r="B123" s="145">
        <v>5</v>
      </c>
      <c r="C123" s="170"/>
      <c r="D123" s="171" t="s">
        <v>51</v>
      </c>
      <c r="E123" s="172" t="s">
        <v>506</v>
      </c>
      <c r="F123" s="100"/>
      <c r="G123" s="170"/>
      <c r="H123" s="174"/>
      <c r="I123" s="173"/>
      <c r="J123" s="218" t="str">
        <f>IFERROR(VLOOKUP($F123,補助対象研修一覧!$A$2:$K$224,2,FALSE),"")</f>
        <v/>
      </c>
      <c r="K123" s="219"/>
      <c r="L123" s="219"/>
      <c r="M123" s="219"/>
      <c r="N123" s="219"/>
      <c r="O123" s="219"/>
      <c r="P123" s="220"/>
      <c r="Q123" s="175"/>
      <c r="R123" s="174"/>
      <c r="S123" s="174"/>
      <c r="T123" s="174"/>
      <c r="U123" s="174"/>
      <c r="V123" s="174"/>
      <c r="W123" s="174"/>
      <c r="X123" s="247" t="str">
        <f>IF($B123&lt;=入力シート!$F$22,""&amp;中間シート!X199,"")</f>
        <v/>
      </c>
      <c r="Y123" s="247"/>
      <c r="Z123" s="247"/>
      <c r="AA123" s="247"/>
      <c r="AB123" s="247"/>
      <c r="AC123" s="247"/>
      <c r="AD123" s="247"/>
      <c r="AE123" s="247"/>
      <c r="AF123" s="247"/>
      <c r="AG123" s="247"/>
      <c r="AH123" s="247"/>
      <c r="AI123" s="247"/>
      <c r="AJ123" s="247"/>
      <c r="AK123" s="247"/>
      <c r="AL123" s="247"/>
      <c r="AM123" s="247"/>
      <c r="AN123" s="247"/>
      <c r="AO123" s="247"/>
      <c r="AQ123" s="177">
        <f>IF(J123&lt;&gt;"",1,0)</f>
        <v>0</v>
      </c>
      <c r="AR123" s="148">
        <f>IF(H123&lt;&gt;"",1,0)</f>
        <v>0</v>
      </c>
      <c r="AS123" s="148"/>
    </row>
    <row r="124" spans="2:45" ht="5.0999999999999996" customHeight="1" thickBot="1" x14ac:dyDescent="0.25">
      <c r="C124" s="170"/>
      <c r="D124" s="170"/>
      <c r="E124" s="174"/>
      <c r="F124" s="175"/>
      <c r="G124" s="174"/>
      <c r="H124" s="174"/>
      <c r="I124" s="173"/>
      <c r="J124" s="175"/>
      <c r="K124" s="175"/>
      <c r="L124" s="175"/>
      <c r="M124" s="175"/>
      <c r="N124" s="175"/>
      <c r="O124" s="175"/>
      <c r="P124" s="175"/>
      <c r="Q124" s="175"/>
      <c r="R124" s="174"/>
      <c r="S124" s="174"/>
      <c r="T124" s="174"/>
      <c r="U124" s="174"/>
      <c r="V124" s="174"/>
      <c r="W124" s="174"/>
      <c r="X124" s="178" t="s">
        <v>79</v>
      </c>
      <c r="Y124" s="178"/>
      <c r="Z124" s="178"/>
      <c r="AA124" s="178"/>
      <c r="AB124" s="178"/>
      <c r="AC124" s="178"/>
      <c r="AD124" s="178"/>
      <c r="AE124" s="178"/>
      <c r="AF124" s="178"/>
      <c r="AG124" s="178"/>
      <c r="AH124" s="178"/>
      <c r="AI124" s="178"/>
      <c r="AJ124" s="178"/>
      <c r="AK124" s="178"/>
      <c r="AL124" s="178"/>
      <c r="AM124" s="178"/>
      <c r="AN124" s="178"/>
      <c r="AO124" s="178"/>
      <c r="AP124" s="150"/>
      <c r="AQ124" s="148"/>
      <c r="AR124" s="148"/>
      <c r="AS124" s="148"/>
    </row>
    <row r="125" spans="2:45" ht="18" customHeight="1" thickBot="1" x14ac:dyDescent="0.25">
      <c r="B125" s="145">
        <v>5</v>
      </c>
      <c r="C125" s="170"/>
      <c r="D125" s="170"/>
      <c r="E125" s="172" t="s">
        <v>507</v>
      </c>
      <c r="F125" s="100"/>
      <c r="G125" s="174"/>
      <c r="H125" s="174"/>
      <c r="I125" s="173"/>
      <c r="J125" s="218" t="str">
        <f>IFERROR(VLOOKUP($F125,補助対象研修一覧!$A$2:$K$224,2,FALSE),"")</f>
        <v/>
      </c>
      <c r="K125" s="219"/>
      <c r="L125" s="219"/>
      <c r="M125" s="219"/>
      <c r="N125" s="219"/>
      <c r="O125" s="219"/>
      <c r="P125" s="220"/>
      <c r="Q125" s="175"/>
      <c r="R125" s="174"/>
      <c r="S125" s="174"/>
      <c r="T125" s="174"/>
      <c r="U125" s="174"/>
      <c r="V125" s="174"/>
      <c r="W125" s="174"/>
      <c r="X125" s="247" t="str">
        <f>IF($B125&lt;=入力シート!$F$22,""&amp;中間シート!X200,"")</f>
        <v/>
      </c>
      <c r="Y125" s="247"/>
      <c r="Z125" s="247"/>
      <c r="AA125" s="247"/>
      <c r="AB125" s="247"/>
      <c r="AC125" s="247"/>
      <c r="AD125" s="247"/>
      <c r="AE125" s="247"/>
      <c r="AF125" s="247"/>
      <c r="AG125" s="247"/>
      <c r="AH125" s="247"/>
      <c r="AI125" s="247"/>
      <c r="AJ125" s="247"/>
      <c r="AK125" s="247"/>
      <c r="AL125" s="247"/>
      <c r="AM125" s="247"/>
      <c r="AN125" s="247"/>
      <c r="AO125" s="247"/>
      <c r="AP125" s="150"/>
      <c r="AQ125" s="177">
        <f>IF(J125&lt;&gt;"",1,0)</f>
        <v>0</v>
      </c>
      <c r="AR125" s="148">
        <f>IF(H125&lt;&gt;"",1,0)</f>
        <v>0</v>
      </c>
      <c r="AS125" s="148"/>
    </row>
    <row r="126" spans="2:45" ht="5.0999999999999996" customHeight="1" thickBot="1" x14ac:dyDescent="0.25">
      <c r="C126" s="170"/>
      <c r="D126" s="170"/>
      <c r="E126" s="172"/>
      <c r="F126" s="179"/>
      <c r="G126" s="174"/>
      <c r="H126" s="174"/>
      <c r="I126" s="173"/>
      <c r="J126" s="179"/>
      <c r="K126" s="179"/>
      <c r="L126" s="179"/>
      <c r="M126" s="175"/>
      <c r="N126" s="179"/>
      <c r="O126" s="179"/>
      <c r="P126" s="179"/>
      <c r="Q126" s="175"/>
      <c r="R126" s="174"/>
      <c r="S126" s="174"/>
      <c r="T126" s="174"/>
      <c r="U126" s="174"/>
      <c r="V126" s="174"/>
      <c r="W126" s="174"/>
      <c r="X126" s="178" t="s">
        <v>79</v>
      </c>
      <c r="Y126" s="178"/>
      <c r="Z126" s="178"/>
      <c r="AA126" s="178"/>
      <c r="AB126" s="178"/>
      <c r="AC126" s="178"/>
      <c r="AD126" s="178"/>
      <c r="AE126" s="178"/>
      <c r="AF126" s="178"/>
      <c r="AG126" s="178"/>
      <c r="AH126" s="178"/>
      <c r="AI126" s="178"/>
      <c r="AJ126" s="178"/>
      <c r="AK126" s="178"/>
      <c r="AL126" s="178"/>
      <c r="AM126" s="178"/>
      <c r="AN126" s="178"/>
      <c r="AO126" s="178"/>
      <c r="AP126" s="150"/>
      <c r="AQ126" s="148"/>
      <c r="AR126" s="148"/>
      <c r="AS126" s="148"/>
    </row>
    <row r="127" spans="2:45" ht="18" customHeight="1" thickBot="1" x14ac:dyDescent="0.25">
      <c r="B127" s="145">
        <v>5</v>
      </c>
      <c r="C127" s="170"/>
      <c r="D127" s="170"/>
      <c r="E127" s="172" t="s">
        <v>508</v>
      </c>
      <c r="F127" s="100"/>
      <c r="G127" s="174"/>
      <c r="H127" s="174"/>
      <c r="I127" s="173"/>
      <c r="J127" s="218" t="str">
        <f>IFERROR(VLOOKUP($F127,補助対象研修一覧!$A$2:$K$224,2,FALSE),"")</f>
        <v/>
      </c>
      <c r="K127" s="219"/>
      <c r="L127" s="219"/>
      <c r="M127" s="219"/>
      <c r="N127" s="219"/>
      <c r="O127" s="219"/>
      <c r="P127" s="220"/>
      <c r="Q127" s="175"/>
      <c r="R127" s="174"/>
      <c r="S127" s="174"/>
      <c r="T127" s="174"/>
      <c r="U127" s="174"/>
      <c r="V127" s="174"/>
      <c r="W127" s="174"/>
      <c r="X127" s="247" t="str">
        <f>IF($B127&lt;=入力シート!$F$22,""&amp;中間シート!X201,"")</f>
        <v/>
      </c>
      <c r="Y127" s="247"/>
      <c r="Z127" s="247"/>
      <c r="AA127" s="247"/>
      <c r="AB127" s="247"/>
      <c r="AC127" s="247"/>
      <c r="AD127" s="247"/>
      <c r="AE127" s="247"/>
      <c r="AF127" s="247"/>
      <c r="AG127" s="247"/>
      <c r="AH127" s="247"/>
      <c r="AI127" s="247"/>
      <c r="AJ127" s="247"/>
      <c r="AK127" s="247"/>
      <c r="AL127" s="247"/>
      <c r="AM127" s="247"/>
      <c r="AN127" s="247"/>
      <c r="AO127" s="247"/>
      <c r="AP127" s="150"/>
      <c r="AQ127" s="177">
        <f>IF(J127&lt;&gt;"",1,0)</f>
        <v>0</v>
      </c>
      <c r="AR127" s="148">
        <f>IF(H127&lt;&gt;"",1,0)</f>
        <v>0</v>
      </c>
      <c r="AS127" s="148"/>
    </row>
    <row r="128" spans="2:45" x14ac:dyDescent="0.2">
      <c r="C128" s="170"/>
      <c r="D128" s="170"/>
      <c r="E128" s="174"/>
      <c r="F128" s="179"/>
      <c r="G128" s="174"/>
      <c r="H128" s="174"/>
      <c r="I128" s="180"/>
      <c r="J128" s="175"/>
      <c r="K128" s="175"/>
      <c r="L128" s="175"/>
      <c r="M128" s="175"/>
      <c r="N128" s="175"/>
      <c r="O128" s="175"/>
      <c r="P128" s="175"/>
      <c r="Q128" s="175"/>
      <c r="R128" s="174"/>
      <c r="S128" s="174"/>
      <c r="T128" s="174"/>
      <c r="U128" s="174"/>
      <c r="V128" s="174"/>
      <c r="W128" s="174"/>
      <c r="X128" s="178" t="s">
        <v>79</v>
      </c>
      <c r="Y128" s="178"/>
      <c r="Z128" s="178"/>
      <c r="AA128" s="178"/>
      <c r="AB128" s="178"/>
      <c r="AC128" s="178"/>
      <c r="AD128" s="178"/>
      <c r="AE128" s="178"/>
      <c r="AF128" s="178"/>
      <c r="AG128" s="178"/>
      <c r="AH128" s="178"/>
      <c r="AI128" s="178"/>
      <c r="AJ128" s="178"/>
      <c r="AK128" s="178"/>
      <c r="AL128" s="178"/>
      <c r="AM128" s="178"/>
      <c r="AN128" s="178"/>
      <c r="AO128" s="178"/>
      <c r="AP128" s="150"/>
      <c r="AQ128" s="148"/>
      <c r="AR128" s="148"/>
      <c r="AS128" s="148"/>
    </row>
    <row r="129" spans="2:45" ht="15.6" thickBot="1" x14ac:dyDescent="0.25">
      <c r="C129" s="148"/>
      <c r="D129" s="148"/>
      <c r="E129" s="181"/>
      <c r="F129" s="182"/>
      <c r="G129" s="181"/>
      <c r="H129" s="181"/>
      <c r="I129" s="183"/>
      <c r="J129" s="177"/>
      <c r="K129" s="177"/>
      <c r="L129" s="177"/>
      <c r="M129" s="177"/>
      <c r="N129" s="177"/>
      <c r="O129" s="177"/>
      <c r="P129" s="177"/>
      <c r="Q129" s="181"/>
      <c r="R129" s="181"/>
      <c r="S129" s="181"/>
      <c r="T129" s="181"/>
      <c r="U129" s="181"/>
      <c r="V129" s="181"/>
      <c r="W129" s="148"/>
      <c r="X129" s="178" t="s">
        <v>79</v>
      </c>
      <c r="Y129" s="178"/>
      <c r="Z129" s="178"/>
      <c r="AA129" s="178"/>
      <c r="AB129" s="178"/>
      <c r="AC129" s="178"/>
      <c r="AD129" s="178"/>
      <c r="AE129" s="178"/>
      <c r="AF129" s="178"/>
      <c r="AG129" s="178"/>
      <c r="AH129" s="178"/>
      <c r="AI129" s="178"/>
      <c r="AJ129" s="178"/>
      <c r="AK129" s="178"/>
      <c r="AL129" s="178"/>
      <c r="AM129" s="178"/>
      <c r="AN129" s="178"/>
      <c r="AO129" s="178"/>
      <c r="AP129" s="150"/>
      <c r="AQ129" s="148"/>
      <c r="AR129" s="148"/>
      <c r="AS129" s="148"/>
    </row>
    <row r="130" spans="2:45" ht="18" customHeight="1" thickBot="1" x14ac:dyDescent="0.25">
      <c r="B130" s="145">
        <v>6</v>
      </c>
      <c r="C130" s="148"/>
      <c r="D130" s="184" t="s">
        <v>52</v>
      </c>
      <c r="E130" s="185" t="s">
        <v>506</v>
      </c>
      <c r="F130" s="100"/>
      <c r="G130" s="148"/>
      <c r="H130" s="181"/>
      <c r="I130" s="186"/>
      <c r="J130" s="218" t="str">
        <f>IFERROR(VLOOKUP($F130,補助対象研修一覧!$A$2:$K$224,2,FALSE),"")</f>
        <v/>
      </c>
      <c r="K130" s="219"/>
      <c r="L130" s="219"/>
      <c r="M130" s="219"/>
      <c r="N130" s="219"/>
      <c r="O130" s="219"/>
      <c r="P130" s="220"/>
      <c r="Q130" s="181"/>
      <c r="R130" s="181"/>
      <c r="S130" s="181"/>
      <c r="T130" s="181"/>
      <c r="U130" s="181"/>
      <c r="V130" s="181"/>
      <c r="W130" s="148"/>
      <c r="X130" s="247" t="str">
        <f>IF($B130&lt;=入力シート!$F$22,""&amp;中間シート!X202,"")</f>
        <v/>
      </c>
      <c r="Y130" s="247"/>
      <c r="Z130" s="247"/>
      <c r="AA130" s="247"/>
      <c r="AB130" s="247"/>
      <c r="AC130" s="247"/>
      <c r="AD130" s="247"/>
      <c r="AE130" s="247"/>
      <c r="AF130" s="247"/>
      <c r="AG130" s="247"/>
      <c r="AH130" s="247"/>
      <c r="AI130" s="247"/>
      <c r="AJ130" s="247"/>
      <c r="AK130" s="247"/>
      <c r="AL130" s="247"/>
      <c r="AM130" s="247"/>
      <c r="AN130" s="247"/>
      <c r="AO130" s="247"/>
      <c r="AP130" s="150"/>
      <c r="AQ130" s="177">
        <f>IF(J130&lt;&gt;"",1,0)</f>
        <v>0</v>
      </c>
      <c r="AR130" s="148">
        <f>IF(H130&lt;&gt;"",1,0)</f>
        <v>0</v>
      </c>
      <c r="AS130" s="148"/>
    </row>
    <row r="131" spans="2:45" ht="5.0999999999999996" customHeight="1" thickBot="1" x14ac:dyDescent="0.25">
      <c r="C131" s="148"/>
      <c r="D131" s="148"/>
      <c r="E131" s="181"/>
      <c r="F131" s="177"/>
      <c r="G131" s="181"/>
      <c r="H131" s="181"/>
      <c r="I131" s="186"/>
      <c r="J131" s="177"/>
      <c r="K131" s="177"/>
      <c r="L131" s="177"/>
      <c r="M131" s="177"/>
      <c r="N131" s="177"/>
      <c r="O131" s="177"/>
      <c r="P131" s="177"/>
      <c r="Q131" s="181"/>
      <c r="R131" s="181"/>
      <c r="S131" s="181"/>
      <c r="T131" s="181"/>
      <c r="U131" s="181"/>
      <c r="V131" s="181"/>
      <c r="W131" s="148"/>
      <c r="X131" s="178" t="s">
        <v>79</v>
      </c>
      <c r="Y131" s="178"/>
      <c r="Z131" s="178"/>
      <c r="AA131" s="178"/>
      <c r="AB131" s="178"/>
      <c r="AC131" s="178"/>
      <c r="AD131" s="178"/>
      <c r="AE131" s="178"/>
      <c r="AF131" s="178"/>
      <c r="AG131" s="178"/>
      <c r="AH131" s="178"/>
      <c r="AI131" s="178"/>
      <c r="AJ131" s="178"/>
      <c r="AK131" s="178"/>
      <c r="AL131" s="178"/>
      <c r="AM131" s="178"/>
      <c r="AN131" s="178"/>
      <c r="AO131" s="178"/>
      <c r="AP131" s="150"/>
      <c r="AQ131" s="148"/>
      <c r="AR131" s="148"/>
      <c r="AS131" s="148"/>
    </row>
    <row r="132" spans="2:45" ht="18" customHeight="1" thickBot="1" x14ac:dyDescent="0.25">
      <c r="B132" s="145">
        <v>6</v>
      </c>
      <c r="C132" s="148"/>
      <c r="D132" s="148"/>
      <c r="E132" s="185" t="s">
        <v>507</v>
      </c>
      <c r="F132" s="100"/>
      <c r="G132" s="181"/>
      <c r="H132" s="181"/>
      <c r="I132" s="186"/>
      <c r="J132" s="218" t="str">
        <f>IFERROR(VLOOKUP($F132,補助対象研修一覧!$A$2:$K$224,2,FALSE),"")</f>
        <v/>
      </c>
      <c r="K132" s="219"/>
      <c r="L132" s="219"/>
      <c r="M132" s="219"/>
      <c r="N132" s="219"/>
      <c r="O132" s="219"/>
      <c r="P132" s="220"/>
      <c r="Q132" s="181"/>
      <c r="R132" s="181"/>
      <c r="S132" s="181"/>
      <c r="T132" s="181"/>
      <c r="U132" s="181"/>
      <c r="V132" s="181"/>
      <c r="W132" s="148"/>
      <c r="X132" s="247" t="str">
        <f>IF($B132&lt;=入力シート!$F$22,""&amp;中間シート!X203,"")</f>
        <v/>
      </c>
      <c r="Y132" s="247"/>
      <c r="Z132" s="247"/>
      <c r="AA132" s="247"/>
      <c r="AB132" s="247"/>
      <c r="AC132" s="247"/>
      <c r="AD132" s="247"/>
      <c r="AE132" s="247"/>
      <c r="AF132" s="247"/>
      <c r="AG132" s="247"/>
      <c r="AH132" s="247"/>
      <c r="AI132" s="247"/>
      <c r="AJ132" s="247"/>
      <c r="AK132" s="247"/>
      <c r="AL132" s="247"/>
      <c r="AM132" s="247"/>
      <c r="AN132" s="247"/>
      <c r="AO132" s="247"/>
      <c r="AP132" s="150"/>
      <c r="AQ132" s="177">
        <f>IF(J132&lt;&gt;"",1,0)</f>
        <v>0</v>
      </c>
      <c r="AR132" s="148">
        <f>IF(H132&lt;&gt;"",1,0)</f>
        <v>0</v>
      </c>
      <c r="AS132" s="148"/>
    </row>
    <row r="133" spans="2:45" ht="5.0999999999999996" customHeight="1" thickBot="1" x14ac:dyDescent="0.25">
      <c r="C133" s="148"/>
      <c r="D133" s="148"/>
      <c r="E133" s="185"/>
      <c r="F133" s="182"/>
      <c r="G133" s="181"/>
      <c r="H133" s="181"/>
      <c r="I133" s="186"/>
      <c r="J133" s="182"/>
      <c r="K133" s="182"/>
      <c r="L133" s="182"/>
      <c r="M133" s="177"/>
      <c r="N133" s="182"/>
      <c r="O133" s="182"/>
      <c r="P133" s="182"/>
      <c r="Q133" s="181"/>
      <c r="R133" s="181"/>
      <c r="S133" s="181"/>
      <c r="T133" s="181"/>
      <c r="U133" s="181"/>
      <c r="V133" s="181"/>
      <c r="W133" s="148"/>
      <c r="X133" s="178" t="s">
        <v>79</v>
      </c>
      <c r="Y133" s="178"/>
      <c r="Z133" s="178"/>
      <c r="AA133" s="178"/>
      <c r="AB133" s="178"/>
      <c r="AC133" s="178"/>
      <c r="AD133" s="178"/>
      <c r="AE133" s="178"/>
      <c r="AF133" s="178"/>
      <c r="AG133" s="178"/>
      <c r="AH133" s="178"/>
      <c r="AI133" s="178"/>
      <c r="AJ133" s="178"/>
      <c r="AK133" s="178"/>
      <c r="AL133" s="178"/>
      <c r="AM133" s="178"/>
      <c r="AN133" s="178"/>
      <c r="AO133" s="178"/>
      <c r="AP133" s="150"/>
      <c r="AQ133" s="148"/>
      <c r="AR133" s="148"/>
      <c r="AS133" s="148"/>
    </row>
    <row r="134" spans="2:45" ht="18" customHeight="1" thickBot="1" x14ac:dyDescent="0.25">
      <c r="B134" s="145">
        <v>6</v>
      </c>
      <c r="C134" s="148"/>
      <c r="D134" s="148"/>
      <c r="E134" s="185" t="s">
        <v>508</v>
      </c>
      <c r="F134" s="100"/>
      <c r="G134" s="181"/>
      <c r="H134" s="181"/>
      <c r="I134" s="186"/>
      <c r="J134" s="218" t="str">
        <f>IFERROR(VLOOKUP($F134,補助対象研修一覧!$A$2:$K$224,2,FALSE),"")</f>
        <v/>
      </c>
      <c r="K134" s="219"/>
      <c r="L134" s="219"/>
      <c r="M134" s="219"/>
      <c r="N134" s="219"/>
      <c r="O134" s="219"/>
      <c r="P134" s="220"/>
      <c r="Q134" s="181"/>
      <c r="R134" s="181"/>
      <c r="S134" s="181"/>
      <c r="T134" s="181"/>
      <c r="U134" s="181"/>
      <c r="V134" s="181"/>
      <c r="W134" s="148"/>
      <c r="X134" s="247" t="str">
        <f>IF($B134&lt;=入力シート!$F$22,""&amp;中間シート!X204,"")</f>
        <v/>
      </c>
      <c r="Y134" s="247"/>
      <c r="Z134" s="247"/>
      <c r="AA134" s="247"/>
      <c r="AB134" s="247"/>
      <c r="AC134" s="247"/>
      <c r="AD134" s="247"/>
      <c r="AE134" s="247"/>
      <c r="AF134" s="247"/>
      <c r="AG134" s="247"/>
      <c r="AH134" s="247"/>
      <c r="AI134" s="247"/>
      <c r="AJ134" s="247"/>
      <c r="AK134" s="247"/>
      <c r="AL134" s="247"/>
      <c r="AM134" s="247"/>
      <c r="AN134" s="247"/>
      <c r="AO134" s="247"/>
      <c r="AP134" s="150"/>
      <c r="AQ134" s="177">
        <f>IF(J134&lt;&gt;"",1,0)</f>
        <v>0</v>
      </c>
      <c r="AR134" s="148">
        <f>IF(H134&lt;&gt;"",1,0)</f>
        <v>0</v>
      </c>
      <c r="AS134" s="148"/>
    </row>
    <row r="135" spans="2:45" x14ac:dyDescent="0.2">
      <c r="C135" s="148"/>
      <c r="D135" s="148"/>
      <c r="E135" s="181"/>
      <c r="F135" s="182"/>
      <c r="G135" s="181"/>
      <c r="H135" s="181"/>
      <c r="I135" s="183"/>
      <c r="J135" s="177"/>
      <c r="K135" s="177"/>
      <c r="L135" s="177"/>
      <c r="M135" s="177"/>
      <c r="N135" s="177"/>
      <c r="O135" s="177"/>
      <c r="P135" s="177"/>
      <c r="Q135" s="177"/>
      <c r="R135" s="177"/>
      <c r="S135" s="177"/>
      <c r="T135" s="177"/>
      <c r="U135" s="177"/>
      <c r="V135" s="177"/>
      <c r="W135" s="148"/>
      <c r="X135" s="178" t="s">
        <v>79</v>
      </c>
      <c r="Y135" s="178"/>
      <c r="Z135" s="178"/>
      <c r="AA135" s="178"/>
      <c r="AB135" s="178"/>
      <c r="AC135" s="178"/>
      <c r="AD135" s="178"/>
      <c r="AE135" s="178"/>
      <c r="AF135" s="178"/>
      <c r="AG135" s="178"/>
      <c r="AH135" s="178"/>
      <c r="AI135" s="178"/>
      <c r="AJ135" s="178"/>
      <c r="AK135" s="178"/>
      <c r="AL135" s="178"/>
      <c r="AM135" s="178"/>
      <c r="AN135" s="178"/>
      <c r="AO135" s="178"/>
      <c r="AP135" s="150"/>
      <c r="AQ135" s="148"/>
      <c r="AR135" s="148"/>
      <c r="AS135" s="148"/>
    </row>
    <row r="136" spans="2:45" ht="15.6" thickBot="1" x14ac:dyDescent="0.25">
      <c r="C136" s="170"/>
      <c r="D136" s="170"/>
      <c r="E136" s="174"/>
      <c r="F136" s="179"/>
      <c r="G136" s="174"/>
      <c r="H136" s="174"/>
      <c r="I136" s="180"/>
      <c r="J136" s="175"/>
      <c r="K136" s="175"/>
      <c r="L136" s="175"/>
      <c r="M136" s="175"/>
      <c r="N136" s="175"/>
      <c r="O136" s="175"/>
      <c r="P136" s="175"/>
      <c r="Q136" s="175"/>
      <c r="R136" s="174"/>
      <c r="S136" s="174"/>
      <c r="T136" s="174"/>
      <c r="U136" s="174"/>
      <c r="V136" s="174"/>
      <c r="W136" s="170"/>
      <c r="X136" s="178" t="s">
        <v>79</v>
      </c>
      <c r="Y136" s="178"/>
      <c r="Z136" s="178"/>
      <c r="AA136" s="178"/>
      <c r="AB136" s="178"/>
      <c r="AC136" s="178"/>
      <c r="AD136" s="178"/>
      <c r="AE136" s="178"/>
      <c r="AF136" s="178"/>
      <c r="AG136" s="178"/>
      <c r="AH136" s="178"/>
      <c r="AI136" s="178"/>
      <c r="AJ136" s="178"/>
      <c r="AK136" s="178"/>
      <c r="AL136" s="178"/>
      <c r="AM136" s="178"/>
      <c r="AN136" s="178"/>
      <c r="AO136" s="178"/>
      <c r="AP136" s="150"/>
      <c r="AQ136" s="148"/>
      <c r="AR136" s="148"/>
      <c r="AS136" s="148"/>
    </row>
    <row r="137" spans="2:45" ht="18" customHeight="1" thickBot="1" x14ac:dyDescent="0.25">
      <c r="B137" s="145">
        <v>7</v>
      </c>
      <c r="C137" s="170"/>
      <c r="D137" s="171" t="s">
        <v>53</v>
      </c>
      <c r="E137" s="172" t="s">
        <v>506</v>
      </c>
      <c r="F137" s="100"/>
      <c r="G137" s="170"/>
      <c r="H137" s="174"/>
      <c r="I137" s="173"/>
      <c r="J137" s="218" t="str">
        <f>IFERROR(VLOOKUP($F137,補助対象研修一覧!$A$2:$K$224,2,FALSE),"")</f>
        <v/>
      </c>
      <c r="K137" s="219"/>
      <c r="L137" s="219"/>
      <c r="M137" s="219"/>
      <c r="N137" s="219"/>
      <c r="O137" s="219"/>
      <c r="P137" s="220"/>
      <c r="Q137" s="175"/>
      <c r="R137" s="174"/>
      <c r="S137" s="174"/>
      <c r="T137" s="174"/>
      <c r="U137" s="174"/>
      <c r="V137" s="174"/>
      <c r="W137" s="170"/>
      <c r="X137" s="247" t="str">
        <f>IF($B137&lt;=入力シート!$F$22,""&amp;中間シート!X205,"")</f>
        <v/>
      </c>
      <c r="Y137" s="247"/>
      <c r="Z137" s="247"/>
      <c r="AA137" s="247"/>
      <c r="AB137" s="247"/>
      <c r="AC137" s="247"/>
      <c r="AD137" s="247"/>
      <c r="AE137" s="247"/>
      <c r="AF137" s="247"/>
      <c r="AG137" s="247"/>
      <c r="AH137" s="247"/>
      <c r="AI137" s="247"/>
      <c r="AJ137" s="247"/>
      <c r="AK137" s="247"/>
      <c r="AL137" s="247"/>
      <c r="AM137" s="247"/>
      <c r="AN137" s="247"/>
      <c r="AO137" s="247"/>
      <c r="AP137" s="150"/>
      <c r="AQ137" s="177">
        <f>IF(J137&lt;&gt;"",1,0)</f>
        <v>0</v>
      </c>
      <c r="AR137" s="148">
        <f>IF(H137&lt;&gt;"",1,0)</f>
        <v>0</v>
      </c>
      <c r="AS137" s="148"/>
    </row>
    <row r="138" spans="2:45" ht="5.0999999999999996" customHeight="1" thickBot="1" x14ac:dyDescent="0.25">
      <c r="C138" s="170"/>
      <c r="D138" s="170"/>
      <c r="E138" s="174"/>
      <c r="F138" s="175"/>
      <c r="G138" s="174"/>
      <c r="H138" s="174"/>
      <c r="I138" s="173"/>
      <c r="J138" s="175"/>
      <c r="K138" s="175"/>
      <c r="L138" s="175"/>
      <c r="M138" s="175"/>
      <c r="N138" s="175"/>
      <c r="O138" s="175"/>
      <c r="P138" s="175"/>
      <c r="Q138" s="175"/>
      <c r="R138" s="174"/>
      <c r="S138" s="174"/>
      <c r="T138" s="174"/>
      <c r="U138" s="174"/>
      <c r="V138" s="174"/>
      <c r="W138" s="170"/>
      <c r="X138" s="178" t="s">
        <v>79</v>
      </c>
      <c r="Y138" s="178"/>
      <c r="Z138" s="178"/>
      <c r="AA138" s="178"/>
      <c r="AB138" s="178"/>
      <c r="AC138" s="178"/>
      <c r="AD138" s="178"/>
      <c r="AE138" s="178"/>
      <c r="AF138" s="178"/>
      <c r="AG138" s="178"/>
      <c r="AH138" s="178"/>
      <c r="AI138" s="178"/>
      <c r="AJ138" s="178"/>
      <c r="AK138" s="178"/>
      <c r="AL138" s="178"/>
      <c r="AM138" s="178"/>
      <c r="AN138" s="178"/>
      <c r="AO138" s="178"/>
      <c r="AP138" s="150"/>
      <c r="AQ138" s="148"/>
      <c r="AR138" s="148"/>
      <c r="AS138" s="148"/>
    </row>
    <row r="139" spans="2:45" ht="18" customHeight="1" thickBot="1" x14ac:dyDescent="0.25">
      <c r="B139" s="145">
        <v>7</v>
      </c>
      <c r="C139" s="170"/>
      <c r="D139" s="170"/>
      <c r="E139" s="172" t="s">
        <v>507</v>
      </c>
      <c r="F139" s="100"/>
      <c r="G139" s="174"/>
      <c r="H139" s="174"/>
      <c r="I139" s="173"/>
      <c r="J139" s="218" t="str">
        <f>IFERROR(VLOOKUP($F139,補助対象研修一覧!$A$2:$K$224,2,FALSE),"")</f>
        <v/>
      </c>
      <c r="K139" s="219"/>
      <c r="L139" s="219"/>
      <c r="M139" s="219"/>
      <c r="N139" s="219"/>
      <c r="O139" s="219"/>
      <c r="P139" s="220"/>
      <c r="Q139" s="175"/>
      <c r="R139" s="174"/>
      <c r="S139" s="174"/>
      <c r="T139" s="174"/>
      <c r="U139" s="174"/>
      <c r="V139" s="174"/>
      <c r="W139" s="170"/>
      <c r="X139" s="247" t="str">
        <f>IF($B139&lt;=入力シート!$F$22,""&amp;中間シート!X206,"")</f>
        <v/>
      </c>
      <c r="Y139" s="247"/>
      <c r="Z139" s="247"/>
      <c r="AA139" s="247"/>
      <c r="AB139" s="247"/>
      <c r="AC139" s="247"/>
      <c r="AD139" s="247"/>
      <c r="AE139" s="247"/>
      <c r="AF139" s="247"/>
      <c r="AG139" s="247"/>
      <c r="AH139" s="247"/>
      <c r="AI139" s="247"/>
      <c r="AJ139" s="247"/>
      <c r="AK139" s="247"/>
      <c r="AL139" s="247"/>
      <c r="AM139" s="247"/>
      <c r="AN139" s="247"/>
      <c r="AO139" s="247"/>
      <c r="AP139" s="150"/>
      <c r="AQ139" s="177">
        <f>IF(J139&lt;&gt;"",1,0)</f>
        <v>0</v>
      </c>
      <c r="AR139" s="148">
        <f>IF(H139&lt;&gt;"",1,0)</f>
        <v>0</v>
      </c>
      <c r="AS139" s="148"/>
    </row>
    <row r="140" spans="2:45" ht="5.0999999999999996" customHeight="1" thickBot="1" x14ac:dyDescent="0.25">
      <c r="C140" s="170"/>
      <c r="D140" s="170"/>
      <c r="E140" s="172"/>
      <c r="F140" s="179"/>
      <c r="G140" s="174"/>
      <c r="H140" s="174"/>
      <c r="I140" s="173"/>
      <c r="J140" s="179"/>
      <c r="K140" s="179"/>
      <c r="L140" s="179"/>
      <c r="M140" s="175"/>
      <c r="N140" s="179"/>
      <c r="O140" s="179"/>
      <c r="P140" s="179"/>
      <c r="Q140" s="175"/>
      <c r="R140" s="174"/>
      <c r="S140" s="174"/>
      <c r="T140" s="174"/>
      <c r="U140" s="174"/>
      <c r="V140" s="174"/>
      <c r="W140" s="170"/>
      <c r="X140" s="178" t="s">
        <v>79</v>
      </c>
      <c r="Y140" s="178"/>
      <c r="Z140" s="178"/>
      <c r="AA140" s="178"/>
      <c r="AB140" s="178"/>
      <c r="AC140" s="178"/>
      <c r="AD140" s="178"/>
      <c r="AE140" s="178"/>
      <c r="AF140" s="178"/>
      <c r="AG140" s="178"/>
      <c r="AH140" s="178"/>
      <c r="AI140" s="178"/>
      <c r="AJ140" s="178"/>
      <c r="AK140" s="178"/>
      <c r="AL140" s="178"/>
      <c r="AM140" s="178"/>
      <c r="AN140" s="178"/>
      <c r="AO140" s="178"/>
      <c r="AP140" s="150"/>
      <c r="AQ140" s="148"/>
      <c r="AR140" s="148"/>
      <c r="AS140" s="148"/>
    </row>
    <row r="141" spans="2:45" ht="18" customHeight="1" thickBot="1" x14ac:dyDescent="0.25">
      <c r="B141" s="145">
        <v>7</v>
      </c>
      <c r="C141" s="170"/>
      <c r="D141" s="170"/>
      <c r="E141" s="172" t="s">
        <v>508</v>
      </c>
      <c r="F141" s="100"/>
      <c r="G141" s="174"/>
      <c r="H141" s="174"/>
      <c r="I141" s="173"/>
      <c r="J141" s="218" t="str">
        <f>IFERROR(VLOOKUP($F141,補助対象研修一覧!$A$2:$K$224,2,FALSE),"")</f>
        <v/>
      </c>
      <c r="K141" s="219"/>
      <c r="L141" s="219"/>
      <c r="M141" s="219"/>
      <c r="N141" s="219"/>
      <c r="O141" s="219"/>
      <c r="P141" s="220"/>
      <c r="Q141" s="175"/>
      <c r="R141" s="174"/>
      <c r="S141" s="174"/>
      <c r="T141" s="174"/>
      <c r="U141" s="174"/>
      <c r="V141" s="174"/>
      <c r="W141" s="170"/>
      <c r="X141" s="247" t="str">
        <f>IF($B141&lt;=入力シート!$F$22,""&amp;中間シート!X207,"")</f>
        <v/>
      </c>
      <c r="Y141" s="247"/>
      <c r="Z141" s="247"/>
      <c r="AA141" s="247"/>
      <c r="AB141" s="247"/>
      <c r="AC141" s="247"/>
      <c r="AD141" s="247"/>
      <c r="AE141" s="247"/>
      <c r="AF141" s="247"/>
      <c r="AG141" s="247"/>
      <c r="AH141" s="247"/>
      <c r="AI141" s="247"/>
      <c r="AJ141" s="247"/>
      <c r="AK141" s="247"/>
      <c r="AL141" s="247"/>
      <c r="AM141" s="247"/>
      <c r="AN141" s="247"/>
      <c r="AO141" s="247"/>
      <c r="AP141" s="150"/>
      <c r="AQ141" s="177">
        <f>IF(J141&lt;&gt;"",1,0)</f>
        <v>0</v>
      </c>
      <c r="AR141" s="148">
        <f>IF(H141&lt;&gt;"",1,0)</f>
        <v>0</v>
      </c>
      <c r="AS141" s="148"/>
    </row>
    <row r="142" spans="2:45" x14ac:dyDescent="0.2">
      <c r="C142" s="170"/>
      <c r="D142" s="170"/>
      <c r="E142" s="174"/>
      <c r="F142" s="179"/>
      <c r="G142" s="174"/>
      <c r="H142" s="174"/>
      <c r="I142" s="180"/>
      <c r="J142" s="175"/>
      <c r="K142" s="175"/>
      <c r="L142" s="175"/>
      <c r="M142" s="175"/>
      <c r="N142" s="175"/>
      <c r="O142" s="175"/>
      <c r="P142" s="175"/>
      <c r="Q142" s="175"/>
      <c r="R142" s="174"/>
      <c r="S142" s="174"/>
      <c r="T142" s="174"/>
      <c r="U142" s="174"/>
      <c r="V142" s="174"/>
      <c r="W142" s="170"/>
      <c r="X142" s="178" t="s">
        <v>79</v>
      </c>
      <c r="Y142" s="178"/>
      <c r="Z142" s="178"/>
      <c r="AA142" s="178"/>
      <c r="AB142" s="178"/>
      <c r="AC142" s="178"/>
      <c r="AD142" s="178"/>
      <c r="AE142" s="178"/>
      <c r="AF142" s="178"/>
      <c r="AG142" s="178"/>
      <c r="AH142" s="178"/>
      <c r="AI142" s="178"/>
      <c r="AJ142" s="178"/>
      <c r="AK142" s="178"/>
      <c r="AL142" s="178"/>
      <c r="AM142" s="178"/>
      <c r="AN142" s="178"/>
      <c r="AO142" s="178"/>
      <c r="AP142" s="150"/>
      <c r="AQ142" s="148"/>
      <c r="AR142" s="148"/>
      <c r="AS142" s="148"/>
    </row>
    <row r="143" spans="2:45" ht="15.6" thickBot="1" x14ac:dyDescent="0.25">
      <c r="C143" s="148"/>
      <c r="D143" s="148"/>
      <c r="E143" s="181"/>
      <c r="F143" s="182"/>
      <c r="G143" s="181"/>
      <c r="H143" s="181"/>
      <c r="I143" s="183"/>
      <c r="J143" s="177"/>
      <c r="K143" s="177"/>
      <c r="L143" s="177"/>
      <c r="M143" s="177"/>
      <c r="N143" s="177"/>
      <c r="O143" s="177"/>
      <c r="P143" s="177"/>
      <c r="Q143" s="177"/>
      <c r="R143" s="181"/>
      <c r="S143" s="181"/>
      <c r="T143" s="181"/>
      <c r="U143" s="181"/>
      <c r="V143" s="181"/>
      <c r="W143" s="148"/>
      <c r="X143" s="178" t="s">
        <v>79</v>
      </c>
      <c r="Y143" s="178"/>
      <c r="Z143" s="178"/>
      <c r="AA143" s="178"/>
      <c r="AB143" s="178"/>
      <c r="AC143" s="178"/>
      <c r="AD143" s="178"/>
      <c r="AE143" s="178"/>
      <c r="AF143" s="178"/>
      <c r="AG143" s="178"/>
      <c r="AH143" s="178"/>
      <c r="AI143" s="178"/>
      <c r="AJ143" s="178"/>
      <c r="AK143" s="178"/>
      <c r="AL143" s="178"/>
      <c r="AM143" s="178"/>
      <c r="AN143" s="178"/>
      <c r="AO143" s="178"/>
      <c r="AP143" s="150"/>
      <c r="AQ143" s="148"/>
      <c r="AR143" s="148"/>
      <c r="AS143" s="148"/>
    </row>
    <row r="144" spans="2:45" ht="18" customHeight="1" thickBot="1" x14ac:dyDescent="0.25">
      <c r="B144" s="145">
        <v>8</v>
      </c>
      <c r="C144" s="148"/>
      <c r="D144" s="184" t="s">
        <v>54</v>
      </c>
      <c r="E144" s="185" t="s">
        <v>506</v>
      </c>
      <c r="F144" s="100"/>
      <c r="G144" s="148"/>
      <c r="H144" s="181"/>
      <c r="I144" s="186"/>
      <c r="J144" s="218" t="str">
        <f>IFERROR(VLOOKUP($F144,補助対象研修一覧!$A$2:$K$224,2,FALSE),"")</f>
        <v/>
      </c>
      <c r="K144" s="219"/>
      <c r="L144" s="219"/>
      <c r="M144" s="219"/>
      <c r="N144" s="219"/>
      <c r="O144" s="219"/>
      <c r="P144" s="220"/>
      <c r="Q144" s="177"/>
      <c r="R144" s="181"/>
      <c r="S144" s="181"/>
      <c r="T144" s="181"/>
      <c r="U144" s="181"/>
      <c r="V144" s="181"/>
      <c r="W144" s="148"/>
      <c r="X144" s="247" t="str">
        <f>IF($B144&lt;=入力シート!$F$22,""&amp;中間シート!X208,"")</f>
        <v/>
      </c>
      <c r="Y144" s="247"/>
      <c r="Z144" s="247"/>
      <c r="AA144" s="247"/>
      <c r="AB144" s="247"/>
      <c r="AC144" s="247"/>
      <c r="AD144" s="247"/>
      <c r="AE144" s="247"/>
      <c r="AF144" s="247"/>
      <c r="AG144" s="247"/>
      <c r="AH144" s="247"/>
      <c r="AI144" s="247"/>
      <c r="AJ144" s="247"/>
      <c r="AK144" s="247"/>
      <c r="AL144" s="247"/>
      <c r="AM144" s="247"/>
      <c r="AN144" s="247"/>
      <c r="AO144" s="247"/>
      <c r="AP144" s="150"/>
      <c r="AQ144" s="177">
        <f>IF(J144&lt;&gt;"",1,0)</f>
        <v>0</v>
      </c>
      <c r="AR144" s="148">
        <f>IF(H144&lt;&gt;"",1,0)</f>
        <v>0</v>
      </c>
      <c r="AS144" s="148"/>
    </row>
    <row r="145" spans="2:45" ht="5.0999999999999996" customHeight="1" thickBot="1" x14ac:dyDescent="0.25">
      <c r="C145" s="148"/>
      <c r="D145" s="148"/>
      <c r="E145" s="181"/>
      <c r="F145" s="177"/>
      <c r="G145" s="181"/>
      <c r="H145" s="181"/>
      <c r="I145" s="186"/>
      <c r="J145" s="177"/>
      <c r="K145" s="177"/>
      <c r="L145" s="177"/>
      <c r="M145" s="177"/>
      <c r="N145" s="177"/>
      <c r="O145" s="177"/>
      <c r="P145" s="177"/>
      <c r="Q145" s="177"/>
      <c r="R145" s="181"/>
      <c r="S145" s="181"/>
      <c r="T145" s="181"/>
      <c r="U145" s="181"/>
      <c r="V145" s="181"/>
      <c r="W145" s="148"/>
      <c r="X145" s="178" t="s">
        <v>79</v>
      </c>
      <c r="Y145" s="178"/>
      <c r="Z145" s="178"/>
      <c r="AA145" s="178"/>
      <c r="AB145" s="178"/>
      <c r="AC145" s="178"/>
      <c r="AD145" s="178"/>
      <c r="AE145" s="178"/>
      <c r="AF145" s="178"/>
      <c r="AG145" s="178"/>
      <c r="AH145" s="178"/>
      <c r="AI145" s="178"/>
      <c r="AJ145" s="178"/>
      <c r="AK145" s="178"/>
      <c r="AL145" s="178"/>
      <c r="AM145" s="178"/>
      <c r="AN145" s="178"/>
      <c r="AO145" s="178"/>
      <c r="AP145" s="150"/>
      <c r="AQ145" s="148"/>
      <c r="AR145" s="148"/>
      <c r="AS145" s="148"/>
    </row>
    <row r="146" spans="2:45" ht="18" customHeight="1" thickBot="1" x14ac:dyDescent="0.25">
      <c r="B146" s="145">
        <v>8</v>
      </c>
      <c r="C146" s="148"/>
      <c r="D146" s="148"/>
      <c r="E146" s="185" t="s">
        <v>507</v>
      </c>
      <c r="F146" s="100"/>
      <c r="G146" s="181"/>
      <c r="H146" s="181"/>
      <c r="I146" s="186"/>
      <c r="J146" s="218" t="str">
        <f>IFERROR(VLOOKUP($F146,補助対象研修一覧!$A$2:$K$224,2,FALSE),"")</f>
        <v/>
      </c>
      <c r="K146" s="219"/>
      <c r="L146" s="219"/>
      <c r="M146" s="219"/>
      <c r="N146" s="219"/>
      <c r="O146" s="219"/>
      <c r="P146" s="220"/>
      <c r="Q146" s="177"/>
      <c r="R146" s="181"/>
      <c r="S146" s="181"/>
      <c r="T146" s="181"/>
      <c r="U146" s="181"/>
      <c r="V146" s="181"/>
      <c r="W146" s="148"/>
      <c r="X146" s="247" t="str">
        <f>IF($B146&lt;=入力シート!$F$22,""&amp;中間シート!X209,"")</f>
        <v/>
      </c>
      <c r="Y146" s="247"/>
      <c r="Z146" s="247"/>
      <c r="AA146" s="247"/>
      <c r="AB146" s="247"/>
      <c r="AC146" s="247"/>
      <c r="AD146" s="247"/>
      <c r="AE146" s="247"/>
      <c r="AF146" s="247"/>
      <c r="AG146" s="247"/>
      <c r="AH146" s="247"/>
      <c r="AI146" s="247"/>
      <c r="AJ146" s="247"/>
      <c r="AK146" s="247"/>
      <c r="AL146" s="247"/>
      <c r="AM146" s="247"/>
      <c r="AN146" s="247"/>
      <c r="AO146" s="247"/>
      <c r="AP146" s="150"/>
      <c r="AQ146" s="177">
        <f>IF(J146&lt;&gt;"",1,0)</f>
        <v>0</v>
      </c>
      <c r="AR146" s="148">
        <f>IF(H146&lt;&gt;"",1,0)</f>
        <v>0</v>
      </c>
      <c r="AS146" s="148"/>
    </row>
    <row r="147" spans="2:45" ht="5.0999999999999996" customHeight="1" thickBot="1" x14ac:dyDescent="0.25">
      <c r="C147" s="148"/>
      <c r="D147" s="148"/>
      <c r="E147" s="185"/>
      <c r="F147" s="182"/>
      <c r="G147" s="181"/>
      <c r="H147" s="181"/>
      <c r="I147" s="186"/>
      <c r="J147" s="182"/>
      <c r="K147" s="182"/>
      <c r="L147" s="182"/>
      <c r="M147" s="177"/>
      <c r="N147" s="182"/>
      <c r="O147" s="182"/>
      <c r="P147" s="182"/>
      <c r="Q147" s="177"/>
      <c r="R147" s="181"/>
      <c r="S147" s="181"/>
      <c r="T147" s="181"/>
      <c r="U147" s="181"/>
      <c r="V147" s="181"/>
      <c r="W147" s="148"/>
      <c r="X147" s="178" t="s">
        <v>79</v>
      </c>
      <c r="Y147" s="178"/>
      <c r="Z147" s="178"/>
      <c r="AA147" s="178"/>
      <c r="AB147" s="178"/>
      <c r="AC147" s="178"/>
      <c r="AD147" s="178"/>
      <c r="AE147" s="178"/>
      <c r="AF147" s="178"/>
      <c r="AG147" s="178"/>
      <c r="AH147" s="178"/>
      <c r="AI147" s="178"/>
      <c r="AJ147" s="178"/>
      <c r="AK147" s="178"/>
      <c r="AL147" s="178"/>
      <c r="AM147" s="178"/>
      <c r="AN147" s="178"/>
      <c r="AO147" s="178"/>
      <c r="AP147" s="150"/>
      <c r="AQ147" s="148"/>
      <c r="AR147" s="148"/>
      <c r="AS147" s="148"/>
    </row>
    <row r="148" spans="2:45" ht="18" customHeight="1" thickBot="1" x14ac:dyDescent="0.25">
      <c r="B148" s="145">
        <v>8</v>
      </c>
      <c r="C148" s="148"/>
      <c r="D148" s="148"/>
      <c r="E148" s="185" t="s">
        <v>508</v>
      </c>
      <c r="F148" s="100"/>
      <c r="G148" s="181"/>
      <c r="H148" s="181"/>
      <c r="I148" s="186"/>
      <c r="J148" s="218" t="str">
        <f>IFERROR(VLOOKUP($F148,補助対象研修一覧!$A$2:$K$224,2,FALSE),"")</f>
        <v/>
      </c>
      <c r="K148" s="219"/>
      <c r="L148" s="219"/>
      <c r="M148" s="219"/>
      <c r="N148" s="219"/>
      <c r="O148" s="219"/>
      <c r="P148" s="220"/>
      <c r="Q148" s="177"/>
      <c r="R148" s="181"/>
      <c r="S148" s="181"/>
      <c r="T148" s="181"/>
      <c r="U148" s="181"/>
      <c r="V148" s="181"/>
      <c r="W148" s="148"/>
      <c r="X148" s="247" t="str">
        <f>IF($B148&lt;=入力シート!$F$22,""&amp;中間シート!X210,"")</f>
        <v/>
      </c>
      <c r="Y148" s="247"/>
      <c r="Z148" s="247"/>
      <c r="AA148" s="247"/>
      <c r="AB148" s="247"/>
      <c r="AC148" s="247"/>
      <c r="AD148" s="247"/>
      <c r="AE148" s="247"/>
      <c r="AF148" s="247"/>
      <c r="AG148" s="247"/>
      <c r="AH148" s="247"/>
      <c r="AI148" s="247"/>
      <c r="AJ148" s="247"/>
      <c r="AK148" s="247"/>
      <c r="AL148" s="247"/>
      <c r="AM148" s="247"/>
      <c r="AN148" s="247"/>
      <c r="AO148" s="247"/>
      <c r="AP148" s="150"/>
      <c r="AQ148" s="177">
        <f>IF(J148&lt;&gt;"",1,0)</f>
        <v>0</v>
      </c>
      <c r="AR148" s="148">
        <f>IF(H148&lt;&gt;"",1,0)</f>
        <v>0</v>
      </c>
      <c r="AS148" s="148"/>
    </row>
    <row r="149" spans="2:45" x14ac:dyDescent="0.2">
      <c r="C149" s="148"/>
      <c r="D149" s="148"/>
      <c r="E149" s="181"/>
      <c r="F149" s="182"/>
      <c r="G149" s="181"/>
      <c r="H149" s="181"/>
      <c r="I149" s="183"/>
      <c r="J149" s="177"/>
      <c r="K149" s="177"/>
      <c r="L149" s="177"/>
      <c r="M149" s="177"/>
      <c r="N149" s="177"/>
      <c r="O149" s="177"/>
      <c r="P149" s="177"/>
      <c r="Q149" s="177"/>
      <c r="R149" s="181"/>
      <c r="S149" s="181"/>
      <c r="T149" s="181"/>
      <c r="U149" s="181"/>
      <c r="V149" s="181"/>
      <c r="W149" s="148"/>
      <c r="X149" s="178" t="s">
        <v>79</v>
      </c>
      <c r="Y149" s="178"/>
      <c r="Z149" s="178"/>
      <c r="AA149" s="178"/>
      <c r="AB149" s="178"/>
      <c r="AC149" s="178"/>
      <c r="AD149" s="178"/>
      <c r="AE149" s="178"/>
      <c r="AF149" s="178"/>
      <c r="AG149" s="178"/>
      <c r="AH149" s="178"/>
      <c r="AI149" s="178"/>
      <c r="AJ149" s="178"/>
      <c r="AK149" s="178"/>
      <c r="AL149" s="178"/>
      <c r="AM149" s="178"/>
      <c r="AN149" s="178"/>
      <c r="AO149" s="178"/>
      <c r="AQ149" s="148"/>
      <c r="AR149" s="148"/>
      <c r="AS149" s="148"/>
    </row>
    <row r="150" spans="2:45" ht="15.6" thickBot="1" x14ac:dyDescent="0.25">
      <c r="C150" s="170"/>
      <c r="D150" s="170"/>
      <c r="E150" s="174"/>
      <c r="F150" s="179"/>
      <c r="G150" s="174"/>
      <c r="H150" s="174"/>
      <c r="I150" s="180"/>
      <c r="J150" s="175"/>
      <c r="K150" s="175"/>
      <c r="L150" s="175"/>
      <c r="M150" s="175"/>
      <c r="N150" s="175"/>
      <c r="O150" s="175"/>
      <c r="P150" s="175"/>
      <c r="Q150" s="175"/>
      <c r="R150" s="174"/>
      <c r="S150" s="174"/>
      <c r="T150" s="174"/>
      <c r="U150" s="174"/>
      <c r="V150" s="174"/>
      <c r="W150" s="170"/>
      <c r="X150" s="178" t="s">
        <v>79</v>
      </c>
      <c r="Y150" s="178"/>
      <c r="Z150" s="178"/>
      <c r="AA150" s="178"/>
      <c r="AB150" s="178"/>
      <c r="AC150" s="178"/>
      <c r="AD150" s="178"/>
      <c r="AE150" s="178"/>
      <c r="AF150" s="178"/>
      <c r="AG150" s="178"/>
      <c r="AH150" s="178"/>
      <c r="AI150" s="178"/>
      <c r="AJ150" s="178"/>
      <c r="AK150" s="178"/>
      <c r="AL150" s="178"/>
      <c r="AM150" s="178"/>
      <c r="AN150" s="178"/>
      <c r="AO150" s="178"/>
      <c r="AQ150" s="148"/>
      <c r="AR150" s="148"/>
      <c r="AS150" s="148"/>
    </row>
    <row r="151" spans="2:45" ht="18" customHeight="1" thickBot="1" x14ac:dyDescent="0.25">
      <c r="B151" s="145">
        <v>9</v>
      </c>
      <c r="C151" s="170"/>
      <c r="D151" s="171" t="s">
        <v>55</v>
      </c>
      <c r="E151" s="172" t="s">
        <v>506</v>
      </c>
      <c r="F151" s="100"/>
      <c r="G151" s="170"/>
      <c r="H151" s="174"/>
      <c r="I151" s="173"/>
      <c r="J151" s="218" t="str">
        <f>IFERROR(VLOOKUP($F151,補助対象研修一覧!$A$2:$K$224,2,FALSE),"")</f>
        <v/>
      </c>
      <c r="K151" s="219"/>
      <c r="L151" s="219"/>
      <c r="M151" s="219"/>
      <c r="N151" s="219"/>
      <c r="O151" s="219"/>
      <c r="P151" s="220"/>
      <c r="Q151" s="175"/>
      <c r="R151" s="174"/>
      <c r="S151" s="174"/>
      <c r="T151" s="174"/>
      <c r="U151" s="174"/>
      <c r="V151" s="174"/>
      <c r="W151" s="170"/>
      <c r="X151" s="247" t="str">
        <f>IF($B151&lt;=入力シート!$F$22,""&amp;中間シート!X211,"")</f>
        <v/>
      </c>
      <c r="Y151" s="247"/>
      <c r="Z151" s="247"/>
      <c r="AA151" s="247"/>
      <c r="AB151" s="247"/>
      <c r="AC151" s="247"/>
      <c r="AD151" s="247"/>
      <c r="AE151" s="247"/>
      <c r="AF151" s="247"/>
      <c r="AG151" s="247"/>
      <c r="AH151" s="247"/>
      <c r="AI151" s="247"/>
      <c r="AJ151" s="247"/>
      <c r="AK151" s="247"/>
      <c r="AL151" s="247"/>
      <c r="AM151" s="247"/>
      <c r="AN151" s="247"/>
      <c r="AO151" s="247"/>
      <c r="AQ151" s="177">
        <f>IF(J151&lt;&gt;"",1,0)</f>
        <v>0</v>
      </c>
      <c r="AR151" s="148">
        <f>IF(H151&lt;&gt;"",1,0)</f>
        <v>0</v>
      </c>
      <c r="AS151" s="148"/>
    </row>
    <row r="152" spans="2:45" ht="5.0999999999999996" customHeight="1" thickBot="1" x14ac:dyDescent="0.25">
      <c r="C152" s="170"/>
      <c r="D152" s="170"/>
      <c r="E152" s="174"/>
      <c r="F152" s="175"/>
      <c r="G152" s="174"/>
      <c r="H152" s="174"/>
      <c r="I152" s="173"/>
      <c r="J152" s="175"/>
      <c r="K152" s="175"/>
      <c r="L152" s="175"/>
      <c r="M152" s="175"/>
      <c r="N152" s="175"/>
      <c r="O152" s="175"/>
      <c r="P152" s="175"/>
      <c r="Q152" s="175"/>
      <c r="R152" s="174"/>
      <c r="S152" s="174"/>
      <c r="T152" s="174"/>
      <c r="U152" s="174"/>
      <c r="V152" s="174"/>
      <c r="W152" s="170"/>
      <c r="X152" s="178" t="s">
        <v>79</v>
      </c>
      <c r="Y152" s="178"/>
      <c r="Z152" s="178"/>
      <c r="AA152" s="178"/>
      <c r="AB152" s="178"/>
      <c r="AC152" s="178"/>
      <c r="AD152" s="178"/>
      <c r="AE152" s="178"/>
      <c r="AF152" s="178"/>
      <c r="AG152" s="178"/>
      <c r="AH152" s="178"/>
      <c r="AI152" s="178"/>
      <c r="AJ152" s="178"/>
      <c r="AK152" s="178"/>
      <c r="AL152" s="178"/>
      <c r="AM152" s="178"/>
      <c r="AN152" s="178"/>
      <c r="AO152" s="178"/>
      <c r="AP152" s="150"/>
      <c r="AQ152" s="148"/>
      <c r="AR152" s="148"/>
      <c r="AS152" s="148"/>
    </row>
    <row r="153" spans="2:45" ht="18" customHeight="1" thickBot="1" x14ac:dyDescent="0.25">
      <c r="B153" s="145">
        <v>9</v>
      </c>
      <c r="C153" s="170"/>
      <c r="D153" s="170"/>
      <c r="E153" s="172" t="s">
        <v>507</v>
      </c>
      <c r="F153" s="100"/>
      <c r="G153" s="174"/>
      <c r="H153" s="174"/>
      <c r="I153" s="173"/>
      <c r="J153" s="218" t="str">
        <f>IFERROR(VLOOKUP($F153,補助対象研修一覧!$A$2:$K$224,2,FALSE),"")</f>
        <v/>
      </c>
      <c r="K153" s="219"/>
      <c r="L153" s="219"/>
      <c r="M153" s="219"/>
      <c r="N153" s="219"/>
      <c r="O153" s="219"/>
      <c r="P153" s="220"/>
      <c r="Q153" s="175"/>
      <c r="R153" s="174"/>
      <c r="S153" s="174"/>
      <c r="T153" s="174"/>
      <c r="U153" s="174"/>
      <c r="V153" s="174"/>
      <c r="W153" s="170"/>
      <c r="X153" s="247" t="str">
        <f>IF($B153&lt;=入力シート!$F$22,""&amp;中間シート!X212,"")</f>
        <v/>
      </c>
      <c r="Y153" s="247"/>
      <c r="Z153" s="247"/>
      <c r="AA153" s="247"/>
      <c r="AB153" s="247"/>
      <c r="AC153" s="247"/>
      <c r="AD153" s="247"/>
      <c r="AE153" s="247"/>
      <c r="AF153" s="247"/>
      <c r="AG153" s="247"/>
      <c r="AH153" s="247"/>
      <c r="AI153" s="247"/>
      <c r="AJ153" s="247"/>
      <c r="AK153" s="247"/>
      <c r="AL153" s="247"/>
      <c r="AM153" s="247"/>
      <c r="AN153" s="247"/>
      <c r="AO153" s="247"/>
      <c r="AP153" s="150"/>
      <c r="AQ153" s="177">
        <f>IF(J153&lt;&gt;"",1,0)</f>
        <v>0</v>
      </c>
      <c r="AR153" s="148">
        <f>IF(H153&lt;&gt;"",1,0)</f>
        <v>0</v>
      </c>
      <c r="AS153" s="148"/>
    </row>
    <row r="154" spans="2:45" ht="5.0999999999999996" customHeight="1" thickBot="1" x14ac:dyDescent="0.25">
      <c r="C154" s="170"/>
      <c r="D154" s="170"/>
      <c r="E154" s="172"/>
      <c r="F154" s="179"/>
      <c r="G154" s="174"/>
      <c r="H154" s="174"/>
      <c r="I154" s="173"/>
      <c r="J154" s="179"/>
      <c r="K154" s="179"/>
      <c r="L154" s="179"/>
      <c r="M154" s="175"/>
      <c r="N154" s="179"/>
      <c r="O154" s="179"/>
      <c r="P154" s="179"/>
      <c r="Q154" s="175"/>
      <c r="R154" s="174"/>
      <c r="S154" s="174"/>
      <c r="T154" s="174"/>
      <c r="U154" s="174"/>
      <c r="V154" s="174"/>
      <c r="W154" s="170"/>
      <c r="X154" s="178" t="s">
        <v>79</v>
      </c>
      <c r="Y154" s="178"/>
      <c r="Z154" s="178"/>
      <c r="AA154" s="178"/>
      <c r="AB154" s="178"/>
      <c r="AC154" s="178"/>
      <c r="AD154" s="178"/>
      <c r="AE154" s="178"/>
      <c r="AF154" s="178"/>
      <c r="AG154" s="178"/>
      <c r="AH154" s="178"/>
      <c r="AI154" s="178"/>
      <c r="AJ154" s="178"/>
      <c r="AK154" s="178"/>
      <c r="AL154" s="178"/>
      <c r="AM154" s="178"/>
      <c r="AN154" s="178"/>
      <c r="AO154" s="178"/>
      <c r="AP154" s="150"/>
      <c r="AQ154" s="148"/>
      <c r="AR154" s="148"/>
      <c r="AS154" s="148"/>
    </row>
    <row r="155" spans="2:45" ht="18" customHeight="1" thickBot="1" x14ac:dyDescent="0.25">
      <c r="B155" s="145">
        <v>9</v>
      </c>
      <c r="C155" s="170"/>
      <c r="D155" s="170"/>
      <c r="E155" s="172" t="s">
        <v>508</v>
      </c>
      <c r="F155" s="100"/>
      <c r="G155" s="174"/>
      <c r="H155" s="174"/>
      <c r="I155" s="173"/>
      <c r="J155" s="218" t="str">
        <f>IFERROR(VLOOKUP($F155,補助対象研修一覧!$A$2:$K$224,2,FALSE),"")</f>
        <v/>
      </c>
      <c r="K155" s="219"/>
      <c r="L155" s="219"/>
      <c r="M155" s="219"/>
      <c r="N155" s="219"/>
      <c r="O155" s="219"/>
      <c r="P155" s="220"/>
      <c r="Q155" s="175"/>
      <c r="R155" s="174"/>
      <c r="S155" s="174"/>
      <c r="T155" s="174"/>
      <c r="U155" s="174"/>
      <c r="V155" s="174"/>
      <c r="W155" s="170"/>
      <c r="X155" s="247" t="str">
        <f>IF($B155&lt;=入力シート!$F$22,""&amp;中間シート!X213,"")</f>
        <v/>
      </c>
      <c r="Y155" s="247"/>
      <c r="Z155" s="247"/>
      <c r="AA155" s="247"/>
      <c r="AB155" s="247"/>
      <c r="AC155" s="247"/>
      <c r="AD155" s="247"/>
      <c r="AE155" s="247"/>
      <c r="AF155" s="247"/>
      <c r="AG155" s="247"/>
      <c r="AH155" s="247"/>
      <c r="AI155" s="247"/>
      <c r="AJ155" s="247"/>
      <c r="AK155" s="247"/>
      <c r="AL155" s="247"/>
      <c r="AM155" s="247"/>
      <c r="AN155" s="247"/>
      <c r="AO155" s="247"/>
      <c r="AP155" s="150"/>
      <c r="AQ155" s="177">
        <f>IF(J155&lt;&gt;"",1,0)</f>
        <v>0</v>
      </c>
      <c r="AR155" s="148">
        <f>IF(H155&lt;&gt;"",1,0)</f>
        <v>0</v>
      </c>
      <c r="AS155" s="148"/>
    </row>
    <row r="156" spans="2:45" x14ac:dyDescent="0.2">
      <c r="C156" s="170"/>
      <c r="D156" s="170"/>
      <c r="E156" s="174"/>
      <c r="F156" s="179"/>
      <c r="G156" s="174"/>
      <c r="H156" s="174"/>
      <c r="I156" s="180"/>
      <c r="J156" s="175"/>
      <c r="K156" s="175"/>
      <c r="L156" s="175"/>
      <c r="M156" s="175"/>
      <c r="N156" s="175"/>
      <c r="O156" s="175"/>
      <c r="P156" s="175"/>
      <c r="Q156" s="175"/>
      <c r="R156" s="174"/>
      <c r="S156" s="174"/>
      <c r="T156" s="174"/>
      <c r="U156" s="174"/>
      <c r="V156" s="174"/>
      <c r="W156" s="170"/>
      <c r="X156" s="178" t="s">
        <v>79</v>
      </c>
      <c r="Y156" s="178"/>
      <c r="Z156" s="178"/>
      <c r="AA156" s="178"/>
      <c r="AB156" s="178"/>
      <c r="AC156" s="178"/>
      <c r="AD156" s="178"/>
      <c r="AE156" s="178"/>
      <c r="AF156" s="178"/>
      <c r="AG156" s="178"/>
      <c r="AH156" s="178"/>
      <c r="AI156" s="178"/>
      <c r="AJ156" s="178"/>
      <c r="AK156" s="178"/>
      <c r="AL156" s="178"/>
      <c r="AM156" s="178"/>
      <c r="AN156" s="178"/>
      <c r="AO156" s="178"/>
      <c r="AQ156" s="148"/>
      <c r="AR156" s="148"/>
      <c r="AS156" s="148"/>
    </row>
    <row r="157" spans="2:45" ht="15.6" thickBot="1" x14ac:dyDescent="0.25">
      <c r="C157" s="148"/>
      <c r="D157" s="148"/>
      <c r="E157" s="181"/>
      <c r="F157" s="182"/>
      <c r="G157" s="181"/>
      <c r="H157" s="181"/>
      <c r="I157" s="183"/>
      <c r="J157" s="177"/>
      <c r="K157" s="177"/>
      <c r="L157" s="177"/>
      <c r="M157" s="177"/>
      <c r="N157" s="177"/>
      <c r="O157" s="177"/>
      <c r="P157" s="177"/>
      <c r="Q157" s="177"/>
      <c r="R157" s="181"/>
      <c r="S157" s="181"/>
      <c r="T157" s="181"/>
      <c r="U157" s="181"/>
      <c r="V157" s="181"/>
      <c r="W157" s="181"/>
      <c r="X157" s="178" t="s">
        <v>79</v>
      </c>
      <c r="Y157" s="178"/>
      <c r="Z157" s="178"/>
      <c r="AA157" s="178"/>
      <c r="AB157" s="178"/>
      <c r="AC157" s="178"/>
      <c r="AD157" s="178"/>
      <c r="AE157" s="178"/>
      <c r="AF157" s="178"/>
      <c r="AG157" s="178"/>
      <c r="AH157" s="178"/>
      <c r="AI157" s="178"/>
      <c r="AJ157" s="178"/>
      <c r="AK157" s="178"/>
      <c r="AL157" s="178"/>
      <c r="AM157" s="178"/>
      <c r="AN157" s="178"/>
      <c r="AO157" s="178"/>
      <c r="AQ157" s="148"/>
      <c r="AR157" s="148"/>
      <c r="AS157" s="148"/>
    </row>
    <row r="158" spans="2:45" ht="18" customHeight="1" thickBot="1" x14ac:dyDescent="0.25">
      <c r="B158" s="145">
        <v>10</v>
      </c>
      <c r="C158" s="148"/>
      <c r="D158" s="184" t="s">
        <v>56</v>
      </c>
      <c r="E158" s="185" t="s">
        <v>506</v>
      </c>
      <c r="F158" s="100"/>
      <c r="G158" s="148"/>
      <c r="H158" s="181"/>
      <c r="I158" s="186"/>
      <c r="J158" s="218" t="str">
        <f>IFERROR(VLOOKUP($F158,補助対象研修一覧!$A$2:$K$224,2,FALSE),"")</f>
        <v/>
      </c>
      <c r="K158" s="219"/>
      <c r="L158" s="219"/>
      <c r="M158" s="219"/>
      <c r="N158" s="219"/>
      <c r="O158" s="219"/>
      <c r="P158" s="220"/>
      <c r="Q158" s="177"/>
      <c r="R158" s="181"/>
      <c r="S158" s="181"/>
      <c r="T158" s="181"/>
      <c r="U158" s="181"/>
      <c r="V158" s="181"/>
      <c r="W158" s="181"/>
      <c r="X158" s="247" t="str">
        <f>IF($B158&lt;=入力シート!$F$22,""&amp;中間シート!X214,"")</f>
        <v/>
      </c>
      <c r="Y158" s="247"/>
      <c r="Z158" s="247"/>
      <c r="AA158" s="247"/>
      <c r="AB158" s="247"/>
      <c r="AC158" s="247"/>
      <c r="AD158" s="247"/>
      <c r="AE158" s="247"/>
      <c r="AF158" s="247"/>
      <c r="AG158" s="247"/>
      <c r="AH158" s="247"/>
      <c r="AI158" s="247"/>
      <c r="AJ158" s="247"/>
      <c r="AK158" s="247"/>
      <c r="AL158" s="247"/>
      <c r="AM158" s="247"/>
      <c r="AN158" s="247"/>
      <c r="AO158" s="247"/>
      <c r="AQ158" s="177">
        <f>IF(J158&lt;&gt;"",1,0)</f>
        <v>0</v>
      </c>
      <c r="AR158" s="148">
        <f>IF(H158&lt;&gt;"",1,0)</f>
        <v>0</v>
      </c>
      <c r="AS158" s="148"/>
    </row>
    <row r="159" spans="2:45" ht="5.0999999999999996" customHeight="1" thickBot="1" x14ac:dyDescent="0.25">
      <c r="C159" s="148"/>
      <c r="D159" s="148"/>
      <c r="E159" s="181"/>
      <c r="F159" s="177"/>
      <c r="G159" s="181"/>
      <c r="H159" s="181"/>
      <c r="I159" s="186"/>
      <c r="J159" s="177"/>
      <c r="K159" s="177"/>
      <c r="L159" s="177"/>
      <c r="M159" s="177"/>
      <c r="N159" s="177"/>
      <c r="O159" s="177"/>
      <c r="P159" s="177"/>
      <c r="Q159" s="177"/>
      <c r="R159" s="181"/>
      <c r="S159" s="181"/>
      <c r="T159" s="181"/>
      <c r="U159" s="181"/>
      <c r="V159" s="181"/>
      <c r="W159" s="181"/>
      <c r="X159" s="178" t="s">
        <v>79</v>
      </c>
      <c r="Y159" s="178"/>
      <c r="Z159" s="178"/>
      <c r="AA159" s="178"/>
      <c r="AB159" s="178"/>
      <c r="AC159" s="178"/>
      <c r="AD159" s="178"/>
      <c r="AE159" s="178"/>
      <c r="AF159" s="178"/>
      <c r="AG159" s="178"/>
      <c r="AH159" s="178"/>
      <c r="AI159" s="178"/>
      <c r="AJ159" s="178"/>
      <c r="AK159" s="178"/>
      <c r="AL159" s="178"/>
      <c r="AM159" s="178"/>
      <c r="AN159" s="178"/>
      <c r="AO159" s="178"/>
      <c r="AP159" s="150"/>
      <c r="AQ159" s="148"/>
      <c r="AR159" s="148"/>
      <c r="AS159" s="148"/>
    </row>
    <row r="160" spans="2:45" ht="18" customHeight="1" thickBot="1" x14ac:dyDescent="0.25">
      <c r="B160" s="145">
        <v>10</v>
      </c>
      <c r="C160" s="148"/>
      <c r="D160" s="148"/>
      <c r="E160" s="185" t="s">
        <v>507</v>
      </c>
      <c r="F160" s="100"/>
      <c r="G160" s="181"/>
      <c r="H160" s="181"/>
      <c r="I160" s="186"/>
      <c r="J160" s="218" t="str">
        <f>IFERROR(VLOOKUP($F160,補助対象研修一覧!$A$2:$K$224,2,FALSE),"")</f>
        <v/>
      </c>
      <c r="K160" s="219"/>
      <c r="L160" s="219"/>
      <c r="M160" s="219"/>
      <c r="N160" s="219"/>
      <c r="O160" s="219"/>
      <c r="P160" s="220"/>
      <c r="Q160" s="177"/>
      <c r="R160" s="181"/>
      <c r="S160" s="181"/>
      <c r="T160" s="181"/>
      <c r="U160" s="181"/>
      <c r="V160" s="181"/>
      <c r="W160" s="181"/>
      <c r="X160" s="247" t="str">
        <f>IF($B160&lt;=入力シート!$F$22,""&amp;中間シート!X215,"")</f>
        <v/>
      </c>
      <c r="Y160" s="247"/>
      <c r="Z160" s="247"/>
      <c r="AA160" s="247"/>
      <c r="AB160" s="247"/>
      <c r="AC160" s="247"/>
      <c r="AD160" s="247"/>
      <c r="AE160" s="247"/>
      <c r="AF160" s="247"/>
      <c r="AG160" s="247"/>
      <c r="AH160" s="247"/>
      <c r="AI160" s="247"/>
      <c r="AJ160" s="247"/>
      <c r="AK160" s="247"/>
      <c r="AL160" s="247"/>
      <c r="AM160" s="247"/>
      <c r="AN160" s="247"/>
      <c r="AO160" s="247"/>
      <c r="AP160" s="150"/>
      <c r="AQ160" s="177">
        <f>IF(J160&lt;&gt;"",1,0)</f>
        <v>0</v>
      </c>
      <c r="AR160" s="148">
        <f>IF(H160&lt;&gt;"",1,0)</f>
        <v>0</v>
      </c>
      <c r="AS160" s="148"/>
    </row>
    <row r="161" spans="2:45" ht="5.0999999999999996" customHeight="1" thickBot="1" x14ac:dyDescent="0.25">
      <c r="C161" s="148"/>
      <c r="D161" s="148"/>
      <c r="E161" s="185"/>
      <c r="F161" s="182"/>
      <c r="G161" s="181"/>
      <c r="H161" s="181"/>
      <c r="I161" s="186"/>
      <c r="J161" s="182"/>
      <c r="K161" s="182"/>
      <c r="L161" s="182"/>
      <c r="M161" s="177"/>
      <c r="N161" s="182"/>
      <c r="O161" s="182"/>
      <c r="P161" s="182"/>
      <c r="Q161" s="177"/>
      <c r="R161" s="181"/>
      <c r="S161" s="181"/>
      <c r="T161" s="181"/>
      <c r="U161" s="181"/>
      <c r="V161" s="181"/>
      <c r="W161" s="181"/>
      <c r="X161" s="178" t="s">
        <v>79</v>
      </c>
      <c r="Y161" s="178"/>
      <c r="Z161" s="178"/>
      <c r="AA161" s="178"/>
      <c r="AB161" s="178"/>
      <c r="AC161" s="178"/>
      <c r="AD161" s="178"/>
      <c r="AE161" s="178"/>
      <c r="AF161" s="178"/>
      <c r="AG161" s="178"/>
      <c r="AH161" s="178"/>
      <c r="AI161" s="178"/>
      <c r="AJ161" s="178"/>
      <c r="AK161" s="178"/>
      <c r="AL161" s="178"/>
      <c r="AM161" s="178"/>
      <c r="AN161" s="178"/>
      <c r="AO161" s="178"/>
      <c r="AP161" s="150"/>
      <c r="AQ161" s="148"/>
      <c r="AR161" s="148"/>
      <c r="AS161" s="148"/>
    </row>
    <row r="162" spans="2:45" ht="18" customHeight="1" thickBot="1" x14ac:dyDescent="0.25">
      <c r="B162" s="145">
        <v>10</v>
      </c>
      <c r="C162" s="148"/>
      <c r="D162" s="148"/>
      <c r="E162" s="185" t="s">
        <v>508</v>
      </c>
      <c r="F162" s="100"/>
      <c r="G162" s="181"/>
      <c r="H162" s="181"/>
      <c r="I162" s="186"/>
      <c r="J162" s="218" t="str">
        <f>IFERROR(VLOOKUP($F162,補助対象研修一覧!$A$2:$K$224,2,FALSE),"")</f>
        <v/>
      </c>
      <c r="K162" s="219"/>
      <c r="L162" s="219"/>
      <c r="M162" s="219"/>
      <c r="N162" s="219"/>
      <c r="O162" s="219"/>
      <c r="P162" s="220"/>
      <c r="Q162" s="177"/>
      <c r="R162" s="181"/>
      <c r="S162" s="181"/>
      <c r="T162" s="181"/>
      <c r="U162" s="181"/>
      <c r="V162" s="181"/>
      <c r="W162" s="181"/>
      <c r="X162" s="247" t="str">
        <f>IF($B162&lt;=入力シート!$F$22,""&amp;中間シート!X216,"")</f>
        <v/>
      </c>
      <c r="Y162" s="247"/>
      <c r="Z162" s="247"/>
      <c r="AA162" s="247"/>
      <c r="AB162" s="247"/>
      <c r="AC162" s="247"/>
      <c r="AD162" s="247"/>
      <c r="AE162" s="247"/>
      <c r="AF162" s="247"/>
      <c r="AG162" s="247"/>
      <c r="AH162" s="247"/>
      <c r="AI162" s="247"/>
      <c r="AJ162" s="247"/>
      <c r="AK162" s="247"/>
      <c r="AL162" s="247"/>
      <c r="AM162" s="247"/>
      <c r="AN162" s="247"/>
      <c r="AO162" s="247"/>
      <c r="AP162" s="150"/>
      <c r="AQ162" s="177">
        <f>IF(J162&lt;&gt;"",1,0)</f>
        <v>0</v>
      </c>
      <c r="AR162" s="148">
        <f>IF(H162&lt;&gt;"",1,0)</f>
        <v>0</v>
      </c>
      <c r="AS162" s="148"/>
    </row>
    <row r="163" spans="2:45" x14ac:dyDescent="0.2">
      <c r="C163" s="148"/>
      <c r="D163" s="148"/>
      <c r="E163" s="181"/>
      <c r="F163" s="182"/>
      <c r="G163" s="181"/>
      <c r="H163" s="181"/>
      <c r="I163" s="183"/>
      <c r="J163" s="177"/>
      <c r="K163" s="177"/>
      <c r="L163" s="177"/>
      <c r="M163" s="177"/>
      <c r="N163" s="177"/>
      <c r="O163" s="177"/>
      <c r="P163" s="177"/>
      <c r="Q163" s="177"/>
      <c r="R163" s="177"/>
      <c r="S163" s="177"/>
      <c r="T163" s="177"/>
      <c r="U163" s="177"/>
      <c r="V163" s="177"/>
      <c r="W163" s="148"/>
      <c r="X163" s="178" t="s">
        <v>79</v>
      </c>
      <c r="Y163" s="178"/>
      <c r="Z163" s="178"/>
      <c r="AA163" s="178"/>
      <c r="AB163" s="178"/>
      <c r="AC163" s="178"/>
      <c r="AD163" s="178"/>
      <c r="AE163" s="178"/>
      <c r="AF163" s="178"/>
      <c r="AG163" s="178"/>
      <c r="AH163" s="178"/>
      <c r="AI163" s="178"/>
      <c r="AJ163" s="178"/>
      <c r="AK163" s="178"/>
      <c r="AL163" s="178"/>
      <c r="AM163" s="178"/>
      <c r="AN163" s="178"/>
      <c r="AO163" s="178"/>
      <c r="AQ163" s="148"/>
      <c r="AR163" s="148"/>
      <c r="AS163" s="148"/>
    </row>
    <row r="164" spans="2:45" ht="15.6" thickBot="1" x14ac:dyDescent="0.25">
      <c r="C164" s="170"/>
      <c r="D164" s="170"/>
      <c r="E164" s="174"/>
      <c r="F164" s="179"/>
      <c r="G164" s="174"/>
      <c r="H164" s="174"/>
      <c r="I164" s="180"/>
      <c r="J164" s="175"/>
      <c r="K164" s="175"/>
      <c r="L164" s="175"/>
      <c r="M164" s="175"/>
      <c r="N164" s="175"/>
      <c r="O164" s="175"/>
      <c r="P164" s="175"/>
      <c r="Q164" s="175"/>
      <c r="R164" s="174"/>
      <c r="S164" s="174"/>
      <c r="T164" s="174"/>
      <c r="U164" s="174"/>
      <c r="V164" s="174"/>
      <c r="W164" s="170"/>
      <c r="X164" s="178" t="s">
        <v>79</v>
      </c>
      <c r="Y164" s="178"/>
      <c r="Z164" s="178"/>
      <c r="AA164" s="178"/>
      <c r="AB164" s="178"/>
      <c r="AC164" s="178"/>
      <c r="AD164" s="178"/>
      <c r="AE164" s="178"/>
      <c r="AF164" s="178"/>
      <c r="AG164" s="178"/>
      <c r="AH164" s="178"/>
      <c r="AI164" s="178"/>
      <c r="AJ164" s="178"/>
      <c r="AK164" s="178"/>
      <c r="AL164" s="178"/>
      <c r="AM164" s="178"/>
      <c r="AN164" s="178"/>
      <c r="AO164" s="178"/>
      <c r="AQ164" s="148"/>
      <c r="AR164" s="148"/>
      <c r="AS164" s="148"/>
    </row>
    <row r="165" spans="2:45" ht="18" customHeight="1" thickBot="1" x14ac:dyDescent="0.25">
      <c r="B165" s="145">
        <v>11</v>
      </c>
      <c r="C165" s="170"/>
      <c r="D165" s="171" t="s">
        <v>57</v>
      </c>
      <c r="E165" s="172" t="s">
        <v>506</v>
      </c>
      <c r="F165" s="100"/>
      <c r="G165" s="170"/>
      <c r="H165" s="174"/>
      <c r="I165" s="173"/>
      <c r="J165" s="218" t="str">
        <f>IFERROR(VLOOKUP($F165,補助対象研修一覧!$A$2:$K$224,2,FALSE),"")</f>
        <v/>
      </c>
      <c r="K165" s="219"/>
      <c r="L165" s="219"/>
      <c r="M165" s="219"/>
      <c r="N165" s="219"/>
      <c r="O165" s="219"/>
      <c r="P165" s="220"/>
      <c r="Q165" s="175"/>
      <c r="R165" s="174"/>
      <c r="S165" s="174"/>
      <c r="T165" s="174"/>
      <c r="U165" s="174"/>
      <c r="V165" s="174"/>
      <c r="W165" s="170"/>
      <c r="X165" s="247" t="str">
        <f>IF($B165&lt;=入力シート!$F$22,""&amp;中間シート!X217,"")</f>
        <v/>
      </c>
      <c r="Y165" s="247"/>
      <c r="Z165" s="247"/>
      <c r="AA165" s="247"/>
      <c r="AB165" s="247"/>
      <c r="AC165" s="247"/>
      <c r="AD165" s="247"/>
      <c r="AE165" s="247"/>
      <c r="AF165" s="247"/>
      <c r="AG165" s="247"/>
      <c r="AH165" s="247"/>
      <c r="AI165" s="247"/>
      <c r="AJ165" s="247"/>
      <c r="AK165" s="247"/>
      <c r="AL165" s="247"/>
      <c r="AM165" s="247"/>
      <c r="AN165" s="247"/>
      <c r="AO165" s="247"/>
      <c r="AQ165" s="177">
        <f>IF(J165&lt;&gt;"",1,0)</f>
        <v>0</v>
      </c>
      <c r="AR165" s="148">
        <f>IF(H165&lt;&gt;"",1,0)</f>
        <v>0</v>
      </c>
      <c r="AS165" s="148"/>
    </row>
    <row r="166" spans="2:45" ht="5.0999999999999996" customHeight="1" thickBot="1" x14ac:dyDescent="0.25">
      <c r="C166" s="170"/>
      <c r="D166" s="170"/>
      <c r="E166" s="174"/>
      <c r="F166" s="175"/>
      <c r="G166" s="174"/>
      <c r="H166" s="174"/>
      <c r="I166" s="173"/>
      <c r="J166" s="175"/>
      <c r="K166" s="175"/>
      <c r="L166" s="175"/>
      <c r="M166" s="175"/>
      <c r="N166" s="175"/>
      <c r="O166" s="175"/>
      <c r="P166" s="175"/>
      <c r="Q166" s="175"/>
      <c r="R166" s="174"/>
      <c r="S166" s="174"/>
      <c r="T166" s="174"/>
      <c r="U166" s="174"/>
      <c r="V166" s="174"/>
      <c r="W166" s="170"/>
      <c r="X166" s="178" t="s">
        <v>79</v>
      </c>
      <c r="Y166" s="178"/>
      <c r="Z166" s="178"/>
      <c r="AA166" s="178"/>
      <c r="AB166" s="178"/>
      <c r="AC166" s="178"/>
      <c r="AD166" s="178"/>
      <c r="AE166" s="178"/>
      <c r="AF166" s="178"/>
      <c r="AG166" s="178"/>
      <c r="AH166" s="178"/>
      <c r="AI166" s="178"/>
      <c r="AJ166" s="178"/>
      <c r="AK166" s="178"/>
      <c r="AL166" s="178"/>
      <c r="AM166" s="178"/>
      <c r="AN166" s="178"/>
      <c r="AO166" s="178"/>
      <c r="AP166" s="150"/>
      <c r="AQ166" s="148"/>
      <c r="AR166" s="148"/>
      <c r="AS166" s="148"/>
    </row>
    <row r="167" spans="2:45" ht="18" customHeight="1" thickBot="1" x14ac:dyDescent="0.25">
      <c r="B167" s="145">
        <v>11</v>
      </c>
      <c r="C167" s="170"/>
      <c r="D167" s="170"/>
      <c r="E167" s="172" t="s">
        <v>507</v>
      </c>
      <c r="F167" s="100"/>
      <c r="G167" s="174"/>
      <c r="H167" s="174"/>
      <c r="I167" s="173"/>
      <c r="J167" s="218" t="str">
        <f>IFERROR(VLOOKUP($F167,補助対象研修一覧!$A$2:$K$224,2,FALSE),"")</f>
        <v/>
      </c>
      <c r="K167" s="219"/>
      <c r="L167" s="219"/>
      <c r="M167" s="219"/>
      <c r="N167" s="219"/>
      <c r="O167" s="219"/>
      <c r="P167" s="220"/>
      <c r="Q167" s="175"/>
      <c r="R167" s="174"/>
      <c r="S167" s="174"/>
      <c r="T167" s="174"/>
      <c r="U167" s="174"/>
      <c r="V167" s="174"/>
      <c r="W167" s="170"/>
      <c r="X167" s="247" t="str">
        <f>IF($B167&lt;=入力シート!$F$22,""&amp;中間シート!X218,"")</f>
        <v/>
      </c>
      <c r="Y167" s="247"/>
      <c r="Z167" s="247"/>
      <c r="AA167" s="247"/>
      <c r="AB167" s="247"/>
      <c r="AC167" s="247"/>
      <c r="AD167" s="247"/>
      <c r="AE167" s="247"/>
      <c r="AF167" s="247"/>
      <c r="AG167" s="247"/>
      <c r="AH167" s="247"/>
      <c r="AI167" s="247"/>
      <c r="AJ167" s="247"/>
      <c r="AK167" s="247"/>
      <c r="AL167" s="247"/>
      <c r="AM167" s="247"/>
      <c r="AN167" s="247"/>
      <c r="AO167" s="247"/>
      <c r="AP167" s="150"/>
      <c r="AQ167" s="177">
        <f>IF(J167&lt;&gt;"",1,0)</f>
        <v>0</v>
      </c>
      <c r="AR167" s="148">
        <f>IF(H167&lt;&gt;"",1,0)</f>
        <v>0</v>
      </c>
      <c r="AS167" s="148"/>
    </row>
    <row r="168" spans="2:45" ht="5.0999999999999996" customHeight="1" thickBot="1" x14ac:dyDescent="0.25">
      <c r="C168" s="170"/>
      <c r="D168" s="170"/>
      <c r="E168" s="172"/>
      <c r="F168" s="179"/>
      <c r="G168" s="174"/>
      <c r="H168" s="174"/>
      <c r="I168" s="173"/>
      <c r="J168" s="179"/>
      <c r="K168" s="179"/>
      <c r="L168" s="179"/>
      <c r="M168" s="175"/>
      <c r="N168" s="179"/>
      <c r="O168" s="179"/>
      <c r="P168" s="179"/>
      <c r="Q168" s="175"/>
      <c r="R168" s="174"/>
      <c r="S168" s="174"/>
      <c r="T168" s="174"/>
      <c r="U168" s="174"/>
      <c r="V168" s="174"/>
      <c r="W168" s="170"/>
      <c r="X168" s="178" t="s">
        <v>79</v>
      </c>
      <c r="Y168" s="178"/>
      <c r="Z168" s="178"/>
      <c r="AA168" s="178"/>
      <c r="AB168" s="178"/>
      <c r="AC168" s="178"/>
      <c r="AD168" s="178"/>
      <c r="AE168" s="178"/>
      <c r="AF168" s="178"/>
      <c r="AG168" s="178"/>
      <c r="AH168" s="178"/>
      <c r="AI168" s="178"/>
      <c r="AJ168" s="178"/>
      <c r="AK168" s="178"/>
      <c r="AL168" s="178"/>
      <c r="AM168" s="178"/>
      <c r="AN168" s="178"/>
      <c r="AO168" s="178"/>
      <c r="AP168" s="150"/>
      <c r="AQ168" s="148"/>
      <c r="AR168" s="148"/>
      <c r="AS168" s="148"/>
    </row>
    <row r="169" spans="2:45" ht="18" customHeight="1" thickBot="1" x14ac:dyDescent="0.25">
      <c r="B169" s="145">
        <v>11</v>
      </c>
      <c r="C169" s="170"/>
      <c r="D169" s="170"/>
      <c r="E169" s="172" t="s">
        <v>508</v>
      </c>
      <c r="F169" s="100"/>
      <c r="G169" s="174"/>
      <c r="H169" s="174"/>
      <c r="I169" s="173"/>
      <c r="J169" s="218" t="str">
        <f>IFERROR(VLOOKUP($F169,補助対象研修一覧!$A$2:$K$224,2,FALSE),"")</f>
        <v/>
      </c>
      <c r="K169" s="219"/>
      <c r="L169" s="219"/>
      <c r="M169" s="219"/>
      <c r="N169" s="219"/>
      <c r="O169" s="219"/>
      <c r="P169" s="220"/>
      <c r="Q169" s="175"/>
      <c r="R169" s="174"/>
      <c r="S169" s="174"/>
      <c r="T169" s="174"/>
      <c r="U169" s="174"/>
      <c r="V169" s="174"/>
      <c r="W169" s="170"/>
      <c r="X169" s="247" t="str">
        <f>IF($B169&lt;=入力シート!$F$22,""&amp;中間シート!X219,"")</f>
        <v/>
      </c>
      <c r="Y169" s="247"/>
      <c r="Z169" s="247"/>
      <c r="AA169" s="247"/>
      <c r="AB169" s="247"/>
      <c r="AC169" s="247"/>
      <c r="AD169" s="247"/>
      <c r="AE169" s="247"/>
      <c r="AF169" s="247"/>
      <c r="AG169" s="247"/>
      <c r="AH169" s="247"/>
      <c r="AI169" s="247"/>
      <c r="AJ169" s="247"/>
      <c r="AK169" s="247"/>
      <c r="AL169" s="247"/>
      <c r="AM169" s="247"/>
      <c r="AN169" s="247"/>
      <c r="AO169" s="247"/>
      <c r="AP169" s="150"/>
      <c r="AQ169" s="177">
        <f>IF(J169&lt;&gt;"",1,0)</f>
        <v>0</v>
      </c>
      <c r="AR169" s="148">
        <f>IF(H169&lt;&gt;"",1,0)</f>
        <v>0</v>
      </c>
      <c r="AS169" s="148"/>
    </row>
    <row r="170" spans="2:45" x14ac:dyDescent="0.2">
      <c r="C170" s="170"/>
      <c r="D170" s="170"/>
      <c r="E170" s="174"/>
      <c r="F170" s="179"/>
      <c r="G170" s="174"/>
      <c r="H170" s="174"/>
      <c r="I170" s="180"/>
      <c r="J170" s="175"/>
      <c r="K170" s="175"/>
      <c r="L170" s="175"/>
      <c r="M170" s="175"/>
      <c r="N170" s="175"/>
      <c r="O170" s="175"/>
      <c r="P170" s="175"/>
      <c r="Q170" s="175"/>
      <c r="R170" s="174"/>
      <c r="S170" s="174"/>
      <c r="T170" s="174"/>
      <c r="U170" s="174"/>
      <c r="V170" s="174"/>
      <c r="W170" s="170"/>
      <c r="X170" s="178" t="s">
        <v>79</v>
      </c>
      <c r="Y170" s="178"/>
      <c r="Z170" s="178"/>
      <c r="AA170" s="178"/>
      <c r="AB170" s="178"/>
      <c r="AC170" s="178"/>
      <c r="AD170" s="178"/>
      <c r="AE170" s="178"/>
      <c r="AF170" s="178"/>
      <c r="AG170" s="178"/>
      <c r="AH170" s="178"/>
      <c r="AI170" s="178"/>
      <c r="AJ170" s="178"/>
      <c r="AK170" s="178"/>
      <c r="AL170" s="178"/>
      <c r="AM170" s="178"/>
      <c r="AN170" s="178"/>
      <c r="AO170" s="178"/>
      <c r="AQ170" s="148"/>
      <c r="AR170" s="148"/>
      <c r="AS170" s="148"/>
    </row>
    <row r="171" spans="2:45" ht="15.6" thickBot="1" x14ac:dyDescent="0.25">
      <c r="C171" s="148"/>
      <c r="D171" s="148"/>
      <c r="E171" s="181"/>
      <c r="F171" s="182"/>
      <c r="G171" s="181"/>
      <c r="H171" s="181"/>
      <c r="I171" s="183"/>
      <c r="J171" s="177"/>
      <c r="K171" s="177"/>
      <c r="L171" s="177"/>
      <c r="M171" s="177"/>
      <c r="N171" s="177"/>
      <c r="O171" s="177"/>
      <c r="P171" s="177"/>
      <c r="Q171" s="177"/>
      <c r="R171" s="181"/>
      <c r="S171" s="181"/>
      <c r="T171" s="181"/>
      <c r="U171" s="181"/>
      <c r="V171" s="181"/>
      <c r="W171" s="148"/>
      <c r="X171" s="178" t="s">
        <v>79</v>
      </c>
      <c r="Y171" s="178"/>
      <c r="Z171" s="178"/>
      <c r="AA171" s="178"/>
      <c r="AB171" s="178"/>
      <c r="AC171" s="178"/>
      <c r="AD171" s="178"/>
      <c r="AE171" s="178"/>
      <c r="AF171" s="178"/>
      <c r="AG171" s="178"/>
      <c r="AH171" s="178"/>
      <c r="AI171" s="178"/>
      <c r="AJ171" s="178"/>
      <c r="AK171" s="178"/>
      <c r="AL171" s="178"/>
      <c r="AM171" s="178"/>
      <c r="AN171" s="178"/>
      <c r="AO171" s="178"/>
      <c r="AQ171" s="148"/>
      <c r="AR171" s="148"/>
      <c r="AS171" s="148"/>
    </row>
    <row r="172" spans="2:45" ht="18" customHeight="1" thickBot="1" x14ac:dyDescent="0.25">
      <c r="B172" s="145">
        <v>12</v>
      </c>
      <c r="C172" s="148"/>
      <c r="D172" s="184" t="s">
        <v>58</v>
      </c>
      <c r="E172" s="185" t="s">
        <v>506</v>
      </c>
      <c r="F172" s="100"/>
      <c r="G172" s="148"/>
      <c r="H172" s="181"/>
      <c r="I172" s="186"/>
      <c r="J172" s="218" t="str">
        <f>IFERROR(VLOOKUP($F172,補助対象研修一覧!$A$2:$K$224,2,FALSE),"")</f>
        <v/>
      </c>
      <c r="K172" s="219"/>
      <c r="L172" s="219"/>
      <c r="M172" s="219"/>
      <c r="N172" s="219"/>
      <c r="O172" s="219"/>
      <c r="P172" s="220"/>
      <c r="Q172" s="177"/>
      <c r="R172" s="181"/>
      <c r="S172" s="181"/>
      <c r="T172" s="181"/>
      <c r="U172" s="181"/>
      <c r="V172" s="181"/>
      <c r="W172" s="148"/>
      <c r="X172" s="247" t="str">
        <f>IF($B172&lt;=入力シート!$F$22,""&amp;中間シート!X220,"")</f>
        <v/>
      </c>
      <c r="Y172" s="247"/>
      <c r="Z172" s="247"/>
      <c r="AA172" s="247"/>
      <c r="AB172" s="247"/>
      <c r="AC172" s="247"/>
      <c r="AD172" s="247"/>
      <c r="AE172" s="247"/>
      <c r="AF172" s="247"/>
      <c r="AG172" s="247"/>
      <c r="AH172" s="247"/>
      <c r="AI172" s="247"/>
      <c r="AJ172" s="247"/>
      <c r="AK172" s="247"/>
      <c r="AL172" s="247"/>
      <c r="AM172" s="247"/>
      <c r="AN172" s="247"/>
      <c r="AO172" s="247"/>
      <c r="AQ172" s="177">
        <f>IF(J172&lt;&gt;"",1,0)</f>
        <v>0</v>
      </c>
      <c r="AR172" s="148">
        <f>IF(H172&lt;&gt;"",1,0)</f>
        <v>0</v>
      </c>
      <c r="AS172" s="148"/>
    </row>
    <row r="173" spans="2:45" ht="5.0999999999999996" customHeight="1" thickBot="1" x14ac:dyDescent="0.25">
      <c r="C173" s="148"/>
      <c r="D173" s="148"/>
      <c r="E173" s="181"/>
      <c r="F173" s="177"/>
      <c r="G173" s="181"/>
      <c r="H173" s="181"/>
      <c r="I173" s="186"/>
      <c r="J173" s="177"/>
      <c r="K173" s="177"/>
      <c r="L173" s="177"/>
      <c r="M173" s="177"/>
      <c r="N173" s="177"/>
      <c r="O173" s="177"/>
      <c r="P173" s="177"/>
      <c r="Q173" s="177"/>
      <c r="R173" s="181"/>
      <c r="S173" s="181"/>
      <c r="T173" s="181"/>
      <c r="U173" s="181"/>
      <c r="V173" s="181"/>
      <c r="W173" s="148"/>
      <c r="X173" s="178" t="s">
        <v>79</v>
      </c>
      <c r="Y173" s="178"/>
      <c r="Z173" s="178"/>
      <c r="AA173" s="178"/>
      <c r="AB173" s="178"/>
      <c r="AC173" s="178"/>
      <c r="AD173" s="178"/>
      <c r="AE173" s="178"/>
      <c r="AF173" s="178"/>
      <c r="AG173" s="178"/>
      <c r="AH173" s="178"/>
      <c r="AI173" s="178"/>
      <c r="AJ173" s="178"/>
      <c r="AK173" s="178"/>
      <c r="AL173" s="178"/>
      <c r="AM173" s="178"/>
      <c r="AN173" s="178"/>
      <c r="AO173" s="178"/>
      <c r="AP173" s="150"/>
      <c r="AQ173" s="148"/>
      <c r="AR173" s="148"/>
      <c r="AS173" s="148"/>
    </row>
    <row r="174" spans="2:45" ht="18" customHeight="1" thickBot="1" x14ac:dyDescent="0.25">
      <c r="B174" s="145">
        <v>12</v>
      </c>
      <c r="C174" s="148"/>
      <c r="D174" s="148"/>
      <c r="E174" s="185" t="s">
        <v>507</v>
      </c>
      <c r="F174" s="100"/>
      <c r="G174" s="181"/>
      <c r="H174" s="181"/>
      <c r="I174" s="186"/>
      <c r="J174" s="218" t="str">
        <f>IFERROR(VLOOKUP($F174,補助対象研修一覧!$A$2:$K$224,2,FALSE),"")</f>
        <v/>
      </c>
      <c r="K174" s="219"/>
      <c r="L174" s="219"/>
      <c r="M174" s="219"/>
      <c r="N174" s="219"/>
      <c r="O174" s="219"/>
      <c r="P174" s="220"/>
      <c r="Q174" s="177"/>
      <c r="R174" s="181"/>
      <c r="S174" s="181"/>
      <c r="T174" s="181"/>
      <c r="U174" s="181"/>
      <c r="V174" s="181"/>
      <c r="W174" s="148"/>
      <c r="X174" s="247" t="str">
        <f>IF($B174&lt;=入力シート!$F$22,""&amp;中間シート!X221,"")</f>
        <v/>
      </c>
      <c r="Y174" s="247"/>
      <c r="Z174" s="247"/>
      <c r="AA174" s="247"/>
      <c r="AB174" s="247"/>
      <c r="AC174" s="247"/>
      <c r="AD174" s="247"/>
      <c r="AE174" s="247"/>
      <c r="AF174" s="247"/>
      <c r="AG174" s="247"/>
      <c r="AH174" s="247"/>
      <c r="AI174" s="247"/>
      <c r="AJ174" s="247"/>
      <c r="AK174" s="247"/>
      <c r="AL174" s="247"/>
      <c r="AM174" s="247"/>
      <c r="AN174" s="247"/>
      <c r="AO174" s="247"/>
      <c r="AP174" s="150"/>
      <c r="AQ174" s="177">
        <f>IF(J174&lt;&gt;"",1,0)</f>
        <v>0</v>
      </c>
      <c r="AR174" s="148">
        <f>IF(H174&lt;&gt;"",1,0)</f>
        <v>0</v>
      </c>
      <c r="AS174" s="148"/>
    </row>
    <row r="175" spans="2:45" ht="5.0999999999999996" customHeight="1" thickBot="1" x14ac:dyDescent="0.25">
      <c r="C175" s="148"/>
      <c r="D175" s="148"/>
      <c r="E175" s="185"/>
      <c r="F175" s="182"/>
      <c r="G175" s="181"/>
      <c r="H175" s="181"/>
      <c r="I175" s="186"/>
      <c r="J175" s="182"/>
      <c r="K175" s="182"/>
      <c r="L175" s="182"/>
      <c r="M175" s="177"/>
      <c r="N175" s="182"/>
      <c r="O175" s="182"/>
      <c r="P175" s="182"/>
      <c r="Q175" s="177"/>
      <c r="R175" s="181"/>
      <c r="S175" s="181"/>
      <c r="T175" s="181"/>
      <c r="U175" s="181"/>
      <c r="V175" s="181"/>
      <c r="W175" s="148"/>
      <c r="X175" s="178" t="s">
        <v>79</v>
      </c>
      <c r="Y175" s="178"/>
      <c r="Z175" s="178"/>
      <c r="AA175" s="178"/>
      <c r="AB175" s="178"/>
      <c r="AC175" s="178"/>
      <c r="AD175" s="178"/>
      <c r="AE175" s="178"/>
      <c r="AF175" s="178"/>
      <c r="AG175" s="178"/>
      <c r="AH175" s="178"/>
      <c r="AI175" s="178"/>
      <c r="AJ175" s="178"/>
      <c r="AK175" s="178"/>
      <c r="AL175" s="178"/>
      <c r="AM175" s="178"/>
      <c r="AN175" s="178"/>
      <c r="AO175" s="178"/>
      <c r="AP175" s="150"/>
      <c r="AQ175" s="148"/>
      <c r="AR175" s="148"/>
      <c r="AS175" s="148"/>
    </row>
    <row r="176" spans="2:45" ht="18" customHeight="1" thickBot="1" x14ac:dyDescent="0.25">
      <c r="B176" s="145">
        <v>12</v>
      </c>
      <c r="C176" s="148"/>
      <c r="D176" s="148"/>
      <c r="E176" s="185" t="s">
        <v>508</v>
      </c>
      <c r="F176" s="100"/>
      <c r="G176" s="181"/>
      <c r="H176" s="181"/>
      <c r="I176" s="186"/>
      <c r="J176" s="218" t="str">
        <f>IFERROR(VLOOKUP($F176,補助対象研修一覧!$A$2:$K$224,2,FALSE),"")</f>
        <v/>
      </c>
      <c r="K176" s="219"/>
      <c r="L176" s="219"/>
      <c r="M176" s="219"/>
      <c r="N176" s="219"/>
      <c r="O176" s="219"/>
      <c r="P176" s="220"/>
      <c r="Q176" s="177"/>
      <c r="R176" s="181"/>
      <c r="S176" s="181"/>
      <c r="T176" s="181"/>
      <c r="U176" s="181"/>
      <c r="V176" s="181"/>
      <c r="W176" s="148"/>
      <c r="X176" s="247" t="str">
        <f>IF($B176&lt;=入力シート!$F$22,""&amp;中間シート!X222,"")</f>
        <v/>
      </c>
      <c r="Y176" s="247"/>
      <c r="Z176" s="247"/>
      <c r="AA176" s="247"/>
      <c r="AB176" s="247"/>
      <c r="AC176" s="247"/>
      <c r="AD176" s="247"/>
      <c r="AE176" s="247"/>
      <c r="AF176" s="247"/>
      <c r="AG176" s="247"/>
      <c r="AH176" s="247"/>
      <c r="AI176" s="247"/>
      <c r="AJ176" s="247"/>
      <c r="AK176" s="247"/>
      <c r="AL176" s="247"/>
      <c r="AM176" s="247"/>
      <c r="AN176" s="247"/>
      <c r="AO176" s="247"/>
      <c r="AP176" s="150"/>
      <c r="AQ176" s="177">
        <f>IF(J176&lt;&gt;"",1,0)</f>
        <v>0</v>
      </c>
      <c r="AR176" s="148">
        <f>IF(H176&lt;&gt;"",1,0)</f>
        <v>0</v>
      </c>
      <c r="AS176" s="148"/>
    </row>
    <row r="177" spans="2:45" x14ac:dyDescent="0.2">
      <c r="C177" s="148"/>
      <c r="D177" s="148"/>
      <c r="E177" s="181"/>
      <c r="F177" s="182"/>
      <c r="G177" s="181"/>
      <c r="H177" s="181"/>
      <c r="I177" s="183"/>
      <c r="J177" s="177"/>
      <c r="K177" s="177"/>
      <c r="L177" s="177"/>
      <c r="M177" s="177"/>
      <c r="N177" s="177"/>
      <c r="O177" s="177"/>
      <c r="P177" s="177"/>
      <c r="Q177" s="177"/>
      <c r="R177" s="177"/>
      <c r="S177" s="177"/>
      <c r="T177" s="177"/>
      <c r="U177" s="177"/>
      <c r="V177" s="177"/>
      <c r="W177" s="148"/>
      <c r="X177" s="178" t="s">
        <v>79</v>
      </c>
      <c r="Y177" s="178"/>
      <c r="Z177" s="178"/>
      <c r="AA177" s="178"/>
      <c r="AB177" s="178"/>
      <c r="AC177" s="178"/>
      <c r="AD177" s="178"/>
      <c r="AE177" s="178"/>
      <c r="AF177" s="178"/>
      <c r="AG177" s="178"/>
      <c r="AH177" s="178"/>
      <c r="AI177" s="178"/>
      <c r="AJ177" s="178"/>
      <c r="AK177" s="178"/>
      <c r="AL177" s="178"/>
      <c r="AM177" s="178"/>
      <c r="AN177" s="178"/>
      <c r="AO177" s="178"/>
      <c r="AQ177" s="148"/>
      <c r="AR177" s="148"/>
      <c r="AS177" s="148"/>
    </row>
    <row r="178" spans="2:45" ht="15.6" thickBot="1" x14ac:dyDescent="0.25">
      <c r="C178" s="170"/>
      <c r="D178" s="170"/>
      <c r="E178" s="174"/>
      <c r="F178" s="179"/>
      <c r="G178" s="174"/>
      <c r="H178" s="174"/>
      <c r="I178" s="180"/>
      <c r="J178" s="175"/>
      <c r="K178" s="175"/>
      <c r="L178" s="175"/>
      <c r="M178" s="175"/>
      <c r="N178" s="175"/>
      <c r="O178" s="175"/>
      <c r="P178" s="175"/>
      <c r="Q178" s="175"/>
      <c r="R178" s="174"/>
      <c r="S178" s="174"/>
      <c r="T178" s="174"/>
      <c r="U178" s="174"/>
      <c r="V178" s="174"/>
      <c r="W178" s="170"/>
      <c r="X178" s="178" t="s">
        <v>79</v>
      </c>
      <c r="Y178" s="178"/>
      <c r="Z178" s="178"/>
      <c r="AA178" s="178"/>
      <c r="AB178" s="178"/>
      <c r="AC178" s="178"/>
      <c r="AD178" s="178"/>
      <c r="AE178" s="178"/>
      <c r="AF178" s="178"/>
      <c r="AG178" s="178"/>
      <c r="AH178" s="178"/>
      <c r="AI178" s="178"/>
      <c r="AJ178" s="178"/>
      <c r="AK178" s="178"/>
      <c r="AL178" s="178"/>
      <c r="AM178" s="178"/>
      <c r="AN178" s="178"/>
      <c r="AO178" s="178"/>
      <c r="AQ178" s="148"/>
      <c r="AR178" s="148"/>
      <c r="AS178" s="148"/>
    </row>
    <row r="179" spans="2:45" ht="18" customHeight="1" thickBot="1" x14ac:dyDescent="0.25">
      <c r="B179" s="145">
        <v>13</v>
      </c>
      <c r="C179" s="170"/>
      <c r="D179" s="171" t="s">
        <v>59</v>
      </c>
      <c r="E179" s="172" t="s">
        <v>506</v>
      </c>
      <c r="F179" s="100"/>
      <c r="G179" s="170"/>
      <c r="H179" s="174"/>
      <c r="I179" s="173"/>
      <c r="J179" s="218" t="str">
        <f>IFERROR(VLOOKUP($F179,補助対象研修一覧!$A$2:$K$224,2,FALSE),"")</f>
        <v/>
      </c>
      <c r="K179" s="219"/>
      <c r="L179" s="219"/>
      <c r="M179" s="219"/>
      <c r="N179" s="219"/>
      <c r="O179" s="219"/>
      <c r="P179" s="220"/>
      <c r="Q179" s="175"/>
      <c r="R179" s="174"/>
      <c r="S179" s="174"/>
      <c r="T179" s="174"/>
      <c r="U179" s="174"/>
      <c r="V179" s="174"/>
      <c r="W179" s="170"/>
      <c r="X179" s="247" t="str">
        <f>IF($B179&lt;=入力シート!$F$22,""&amp;中間シート!X223,"")</f>
        <v/>
      </c>
      <c r="Y179" s="247"/>
      <c r="Z179" s="247"/>
      <c r="AA179" s="247"/>
      <c r="AB179" s="247"/>
      <c r="AC179" s="247"/>
      <c r="AD179" s="247"/>
      <c r="AE179" s="247"/>
      <c r="AF179" s="247"/>
      <c r="AG179" s="247"/>
      <c r="AH179" s="247"/>
      <c r="AI179" s="247"/>
      <c r="AJ179" s="247"/>
      <c r="AK179" s="247"/>
      <c r="AL179" s="247"/>
      <c r="AM179" s="247"/>
      <c r="AN179" s="247"/>
      <c r="AO179" s="247"/>
      <c r="AQ179" s="177">
        <f>IF(J179&lt;&gt;"",1,0)</f>
        <v>0</v>
      </c>
      <c r="AR179" s="148">
        <f>IF(H179&lt;&gt;"",1,0)</f>
        <v>0</v>
      </c>
      <c r="AS179" s="148"/>
    </row>
    <row r="180" spans="2:45" ht="5.0999999999999996" customHeight="1" thickBot="1" x14ac:dyDescent="0.25">
      <c r="C180" s="170"/>
      <c r="D180" s="170"/>
      <c r="E180" s="174"/>
      <c r="F180" s="175"/>
      <c r="G180" s="174"/>
      <c r="H180" s="174"/>
      <c r="I180" s="173"/>
      <c r="J180" s="175"/>
      <c r="K180" s="175"/>
      <c r="L180" s="175"/>
      <c r="M180" s="175"/>
      <c r="N180" s="175"/>
      <c r="O180" s="175"/>
      <c r="P180" s="175"/>
      <c r="Q180" s="175"/>
      <c r="R180" s="174"/>
      <c r="S180" s="174"/>
      <c r="T180" s="174"/>
      <c r="U180" s="174"/>
      <c r="V180" s="174"/>
      <c r="W180" s="170"/>
      <c r="X180" s="178" t="s">
        <v>79</v>
      </c>
      <c r="Y180" s="178"/>
      <c r="Z180" s="178"/>
      <c r="AA180" s="178"/>
      <c r="AB180" s="178"/>
      <c r="AC180" s="178"/>
      <c r="AD180" s="178"/>
      <c r="AE180" s="178"/>
      <c r="AF180" s="178"/>
      <c r="AG180" s="178"/>
      <c r="AH180" s="178"/>
      <c r="AI180" s="178"/>
      <c r="AJ180" s="178"/>
      <c r="AK180" s="178"/>
      <c r="AL180" s="178"/>
      <c r="AM180" s="178"/>
      <c r="AN180" s="178"/>
      <c r="AO180" s="178"/>
      <c r="AP180" s="150"/>
      <c r="AQ180" s="148"/>
      <c r="AR180" s="148"/>
      <c r="AS180" s="148"/>
    </row>
    <row r="181" spans="2:45" ht="18" customHeight="1" thickBot="1" x14ac:dyDescent="0.25">
      <c r="B181" s="145">
        <v>13</v>
      </c>
      <c r="C181" s="170"/>
      <c r="D181" s="170"/>
      <c r="E181" s="172" t="s">
        <v>507</v>
      </c>
      <c r="F181" s="100"/>
      <c r="G181" s="174"/>
      <c r="H181" s="174"/>
      <c r="I181" s="173"/>
      <c r="J181" s="218" t="str">
        <f>IFERROR(VLOOKUP($F181,補助対象研修一覧!$A$2:$K$224,2,FALSE),"")</f>
        <v/>
      </c>
      <c r="K181" s="219"/>
      <c r="L181" s="219"/>
      <c r="M181" s="219"/>
      <c r="N181" s="219"/>
      <c r="O181" s="219"/>
      <c r="P181" s="220"/>
      <c r="Q181" s="175"/>
      <c r="R181" s="174"/>
      <c r="S181" s="174"/>
      <c r="T181" s="174"/>
      <c r="U181" s="174"/>
      <c r="V181" s="174"/>
      <c r="W181" s="170"/>
      <c r="X181" s="247" t="str">
        <f>IF($B181&lt;=入力シート!$F$22,""&amp;中間シート!X224,"")</f>
        <v/>
      </c>
      <c r="Y181" s="247"/>
      <c r="Z181" s="247"/>
      <c r="AA181" s="247"/>
      <c r="AB181" s="247"/>
      <c r="AC181" s="247"/>
      <c r="AD181" s="247"/>
      <c r="AE181" s="247"/>
      <c r="AF181" s="247"/>
      <c r="AG181" s="247"/>
      <c r="AH181" s="247"/>
      <c r="AI181" s="247"/>
      <c r="AJ181" s="247"/>
      <c r="AK181" s="247"/>
      <c r="AL181" s="247"/>
      <c r="AM181" s="247"/>
      <c r="AN181" s="247"/>
      <c r="AO181" s="247"/>
      <c r="AP181" s="150"/>
      <c r="AQ181" s="177">
        <f>IF(J181&lt;&gt;"",1,0)</f>
        <v>0</v>
      </c>
      <c r="AR181" s="148">
        <f>IF(H181&lt;&gt;"",1,0)</f>
        <v>0</v>
      </c>
      <c r="AS181" s="148"/>
    </row>
    <row r="182" spans="2:45" ht="5.0999999999999996" customHeight="1" thickBot="1" x14ac:dyDescent="0.25">
      <c r="C182" s="170"/>
      <c r="D182" s="170"/>
      <c r="E182" s="172"/>
      <c r="F182" s="179"/>
      <c r="G182" s="174"/>
      <c r="H182" s="174"/>
      <c r="I182" s="173"/>
      <c r="J182" s="179"/>
      <c r="K182" s="179"/>
      <c r="L182" s="179"/>
      <c r="M182" s="175"/>
      <c r="N182" s="179"/>
      <c r="O182" s="179"/>
      <c r="P182" s="179"/>
      <c r="Q182" s="175"/>
      <c r="R182" s="174"/>
      <c r="S182" s="174"/>
      <c r="T182" s="174"/>
      <c r="U182" s="174"/>
      <c r="V182" s="174"/>
      <c r="W182" s="170"/>
      <c r="X182" s="178" t="s">
        <v>79</v>
      </c>
      <c r="Y182" s="178"/>
      <c r="Z182" s="178"/>
      <c r="AA182" s="178"/>
      <c r="AB182" s="178"/>
      <c r="AC182" s="178"/>
      <c r="AD182" s="178"/>
      <c r="AE182" s="178"/>
      <c r="AF182" s="178"/>
      <c r="AG182" s="178"/>
      <c r="AH182" s="178"/>
      <c r="AI182" s="178"/>
      <c r="AJ182" s="178"/>
      <c r="AK182" s="178"/>
      <c r="AL182" s="178"/>
      <c r="AM182" s="178"/>
      <c r="AN182" s="178"/>
      <c r="AO182" s="178"/>
      <c r="AP182" s="150"/>
      <c r="AQ182" s="148"/>
      <c r="AR182" s="148"/>
      <c r="AS182" s="148"/>
    </row>
    <row r="183" spans="2:45" ht="18" customHeight="1" thickBot="1" x14ac:dyDescent="0.25">
      <c r="B183" s="145">
        <v>13</v>
      </c>
      <c r="C183" s="170"/>
      <c r="D183" s="170"/>
      <c r="E183" s="172" t="s">
        <v>508</v>
      </c>
      <c r="F183" s="100"/>
      <c r="G183" s="174"/>
      <c r="H183" s="174"/>
      <c r="I183" s="173"/>
      <c r="J183" s="218" t="str">
        <f>IFERROR(VLOOKUP($F183,補助対象研修一覧!$A$2:$K$224,2,FALSE),"")</f>
        <v/>
      </c>
      <c r="K183" s="219"/>
      <c r="L183" s="219"/>
      <c r="M183" s="219"/>
      <c r="N183" s="219"/>
      <c r="O183" s="219"/>
      <c r="P183" s="220"/>
      <c r="Q183" s="175"/>
      <c r="R183" s="174"/>
      <c r="S183" s="174"/>
      <c r="T183" s="174"/>
      <c r="U183" s="174"/>
      <c r="V183" s="174"/>
      <c r="W183" s="170"/>
      <c r="X183" s="247" t="str">
        <f>IF($B183&lt;=入力シート!$F$22,""&amp;中間シート!X225,"")</f>
        <v/>
      </c>
      <c r="Y183" s="247"/>
      <c r="Z183" s="247"/>
      <c r="AA183" s="247"/>
      <c r="AB183" s="247"/>
      <c r="AC183" s="247"/>
      <c r="AD183" s="247"/>
      <c r="AE183" s="247"/>
      <c r="AF183" s="247"/>
      <c r="AG183" s="247"/>
      <c r="AH183" s="247"/>
      <c r="AI183" s="247"/>
      <c r="AJ183" s="247"/>
      <c r="AK183" s="247"/>
      <c r="AL183" s="247"/>
      <c r="AM183" s="247"/>
      <c r="AN183" s="247"/>
      <c r="AO183" s="247"/>
      <c r="AP183" s="150"/>
      <c r="AQ183" s="177">
        <f>IF(J183&lt;&gt;"",1,0)</f>
        <v>0</v>
      </c>
      <c r="AR183" s="148">
        <f>IF(H183&lt;&gt;"",1,0)</f>
        <v>0</v>
      </c>
      <c r="AS183" s="148"/>
    </row>
    <row r="184" spans="2:45" x14ac:dyDescent="0.2">
      <c r="C184" s="170"/>
      <c r="D184" s="170"/>
      <c r="E184" s="174"/>
      <c r="F184" s="179"/>
      <c r="G184" s="174"/>
      <c r="H184" s="174"/>
      <c r="I184" s="180"/>
      <c r="J184" s="175"/>
      <c r="K184" s="175"/>
      <c r="L184" s="175"/>
      <c r="M184" s="175"/>
      <c r="N184" s="175"/>
      <c r="O184" s="175"/>
      <c r="P184" s="175"/>
      <c r="Q184" s="175"/>
      <c r="R184" s="174"/>
      <c r="S184" s="174"/>
      <c r="T184" s="174"/>
      <c r="U184" s="174"/>
      <c r="V184" s="174"/>
      <c r="W184" s="170"/>
      <c r="X184" s="178" t="s">
        <v>79</v>
      </c>
      <c r="Y184" s="178"/>
      <c r="Z184" s="178"/>
      <c r="AA184" s="178"/>
      <c r="AB184" s="178"/>
      <c r="AC184" s="178"/>
      <c r="AD184" s="178"/>
      <c r="AE184" s="178"/>
      <c r="AF184" s="178"/>
      <c r="AG184" s="178"/>
      <c r="AH184" s="178"/>
      <c r="AI184" s="178"/>
      <c r="AJ184" s="178"/>
      <c r="AK184" s="178"/>
      <c r="AL184" s="178"/>
      <c r="AM184" s="178"/>
      <c r="AN184" s="178"/>
      <c r="AO184" s="178"/>
      <c r="AQ184" s="148"/>
      <c r="AR184" s="148"/>
      <c r="AS184" s="148"/>
    </row>
    <row r="185" spans="2:45" ht="15.6" thickBot="1" x14ac:dyDescent="0.25">
      <c r="C185" s="148"/>
      <c r="D185" s="148"/>
      <c r="E185" s="181"/>
      <c r="F185" s="182"/>
      <c r="G185" s="181"/>
      <c r="H185" s="181"/>
      <c r="I185" s="183"/>
      <c r="J185" s="177"/>
      <c r="K185" s="177"/>
      <c r="L185" s="177"/>
      <c r="M185" s="177"/>
      <c r="N185" s="177"/>
      <c r="O185" s="177"/>
      <c r="P185" s="177"/>
      <c r="Q185" s="181"/>
      <c r="R185" s="181"/>
      <c r="S185" s="181"/>
      <c r="T185" s="181"/>
      <c r="U185" s="181"/>
      <c r="V185" s="181"/>
      <c r="W185" s="148"/>
      <c r="X185" s="178" t="s">
        <v>79</v>
      </c>
      <c r="Y185" s="178"/>
      <c r="Z185" s="178"/>
      <c r="AA185" s="178"/>
      <c r="AB185" s="178"/>
      <c r="AC185" s="178"/>
      <c r="AD185" s="178"/>
      <c r="AE185" s="178"/>
      <c r="AF185" s="178"/>
      <c r="AG185" s="178"/>
      <c r="AH185" s="178"/>
      <c r="AI185" s="178"/>
      <c r="AJ185" s="178"/>
      <c r="AK185" s="178"/>
      <c r="AL185" s="178"/>
      <c r="AM185" s="178"/>
      <c r="AN185" s="178"/>
      <c r="AO185" s="178"/>
      <c r="AQ185" s="148"/>
      <c r="AR185" s="148"/>
      <c r="AS185" s="148"/>
    </row>
    <row r="186" spans="2:45" ht="18" customHeight="1" thickBot="1" x14ac:dyDescent="0.25">
      <c r="B186" s="145">
        <v>14</v>
      </c>
      <c r="C186" s="148"/>
      <c r="D186" s="184" t="s">
        <v>60</v>
      </c>
      <c r="E186" s="185" t="s">
        <v>506</v>
      </c>
      <c r="F186" s="100"/>
      <c r="G186" s="148"/>
      <c r="H186" s="181"/>
      <c r="I186" s="186"/>
      <c r="J186" s="218" t="str">
        <f>IFERROR(VLOOKUP($F186,補助対象研修一覧!$A$2:$K$224,2,FALSE),"")</f>
        <v/>
      </c>
      <c r="K186" s="219"/>
      <c r="L186" s="219"/>
      <c r="M186" s="219"/>
      <c r="N186" s="219"/>
      <c r="O186" s="219"/>
      <c r="P186" s="220"/>
      <c r="Q186" s="181"/>
      <c r="R186" s="181"/>
      <c r="S186" s="181"/>
      <c r="T186" s="181"/>
      <c r="U186" s="181"/>
      <c r="V186" s="181"/>
      <c r="W186" s="148"/>
      <c r="X186" s="247" t="str">
        <f>IF($B186&lt;=入力シート!$F$22,""&amp;中間シート!X226,"")</f>
        <v/>
      </c>
      <c r="Y186" s="247"/>
      <c r="Z186" s="247"/>
      <c r="AA186" s="247"/>
      <c r="AB186" s="247"/>
      <c r="AC186" s="247"/>
      <c r="AD186" s="247"/>
      <c r="AE186" s="247"/>
      <c r="AF186" s="247"/>
      <c r="AG186" s="247"/>
      <c r="AH186" s="247"/>
      <c r="AI186" s="247"/>
      <c r="AJ186" s="247"/>
      <c r="AK186" s="247"/>
      <c r="AL186" s="247"/>
      <c r="AM186" s="247"/>
      <c r="AN186" s="247"/>
      <c r="AO186" s="247"/>
      <c r="AQ186" s="177">
        <f>IF(J186&lt;&gt;"",1,0)</f>
        <v>0</v>
      </c>
      <c r="AR186" s="148">
        <f>IF(H186&lt;&gt;"",1,0)</f>
        <v>0</v>
      </c>
      <c r="AS186" s="148"/>
    </row>
    <row r="187" spans="2:45" ht="5.0999999999999996" customHeight="1" thickBot="1" x14ac:dyDescent="0.25">
      <c r="C187" s="148"/>
      <c r="D187" s="148"/>
      <c r="E187" s="181"/>
      <c r="F187" s="177"/>
      <c r="G187" s="181"/>
      <c r="H187" s="181"/>
      <c r="I187" s="186"/>
      <c r="J187" s="177"/>
      <c r="K187" s="177"/>
      <c r="L187" s="177"/>
      <c r="M187" s="177"/>
      <c r="N187" s="177"/>
      <c r="O187" s="177"/>
      <c r="P187" s="177"/>
      <c r="Q187" s="181"/>
      <c r="R187" s="181"/>
      <c r="S187" s="181"/>
      <c r="T187" s="181"/>
      <c r="U187" s="181"/>
      <c r="V187" s="181"/>
      <c r="W187" s="148"/>
      <c r="X187" s="178" t="s">
        <v>79</v>
      </c>
      <c r="Y187" s="178"/>
      <c r="Z187" s="178"/>
      <c r="AA187" s="178"/>
      <c r="AB187" s="178"/>
      <c r="AC187" s="178"/>
      <c r="AD187" s="178"/>
      <c r="AE187" s="178"/>
      <c r="AF187" s="178"/>
      <c r="AG187" s="178"/>
      <c r="AH187" s="178"/>
      <c r="AI187" s="178"/>
      <c r="AJ187" s="178"/>
      <c r="AK187" s="178"/>
      <c r="AL187" s="178"/>
      <c r="AM187" s="178"/>
      <c r="AN187" s="178"/>
      <c r="AO187" s="178"/>
      <c r="AP187" s="150"/>
      <c r="AQ187" s="148"/>
      <c r="AR187" s="148"/>
      <c r="AS187" s="148"/>
    </row>
    <row r="188" spans="2:45" ht="18" customHeight="1" thickBot="1" x14ac:dyDescent="0.25">
      <c r="B188" s="145">
        <v>14</v>
      </c>
      <c r="C188" s="148"/>
      <c r="D188" s="148"/>
      <c r="E188" s="185" t="s">
        <v>507</v>
      </c>
      <c r="F188" s="100"/>
      <c r="G188" s="181"/>
      <c r="H188" s="181"/>
      <c r="I188" s="186"/>
      <c r="J188" s="218" t="str">
        <f>IFERROR(VLOOKUP($F188,補助対象研修一覧!$A$2:$K$224,2,FALSE),"")</f>
        <v/>
      </c>
      <c r="K188" s="219"/>
      <c r="L188" s="219"/>
      <c r="M188" s="219"/>
      <c r="N188" s="219"/>
      <c r="O188" s="219"/>
      <c r="P188" s="220"/>
      <c r="Q188" s="181"/>
      <c r="R188" s="181"/>
      <c r="S188" s="181"/>
      <c r="T188" s="181"/>
      <c r="U188" s="181"/>
      <c r="V188" s="181"/>
      <c r="W188" s="148"/>
      <c r="X188" s="247" t="str">
        <f>IF($B188&lt;=入力シート!$F$22,""&amp;中間シート!X227,"")</f>
        <v/>
      </c>
      <c r="Y188" s="247"/>
      <c r="Z188" s="247"/>
      <c r="AA188" s="247"/>
      <c r="AB188" s="247"/>
      <c r="AC188" s="247"/>
      <c r="AD188" s="247"/>
      <c r="AE188" s="247"/>
      <c r="AF188" s="247"/>
      <c r="AG188" s="247"/>
      <c r="AH188" s="247"/>
      <c r="AI188" s="247"/>
      <c r="AJ188" s="247"/>
      <c r="AK188" s="247"/>
      <c r="AL188" s="247"/>
      <c r="AM188" s="247"/>
      <c r="AN188" s="247"/>
      <c r="AO188" s="247"/>
      <c r="AP188" s="150"/>
      <c r="AQ188" s="177">
        <f>IF(J188&lt;&gt;"",1,0)</f>
        <v>0</v>
      </c>
      <c r="AR188" s="148">
        <f>IF(H188&lt;&gt;"",1,0)</f>
        <v>0</v>
      </c>
      <c r="AS188" s="148"/>
    </row>
    <row r="189" spans="2:45" ht="5.0999999999999996" customHeight="1" thickBot="1" x14ac:dyDescent="0.25">
      <c r="C189" s="148"/>
      <c r="D189" s="148"/>
      <c r="E189" s="185"/>
      <c r="F189" s="182"/>
      <c r="G189" s="181"/>
      <c r="H189" s="181"/>
      <c r="I189" s="186"/>
      <c r="J189" s="182"/>
      <c r="K189" s="182"/>
      <c r="L189" s="182"/>
      <c r="M189" s="177"/>
      <c r="N189" s="182"/>
      <c r="O189" s="182"/>
      <c r="P189" s="182"/>
      <c r="Q189" s="181"/>
      <c r="R189" s="181"/>
      <c r="S189" s="181"/>
      <c r="T189" s="181"/>
      <c r="U189" s="181"/>
      <c r="V189" s="181"/>
      <c r="W189" s="148"/>
      <c r="X189" s="178" t="s">
        <v>79</v>
      </c>
      <c r="Y189" s="178"/>
      <c r="Z189" s="178"/>
      <c r="AA189" s="178"/>
      <c r="AB189" s="178"/>
      <c r="AC189" s="178"/>
      <c r="AD189" s="178"/>
      <c r="AE189" s="178"/>
      <c r="AF189" s="178"/>
      <c r="AG189" s="178"/>
      <c r="AH189" s="178"/>
      <c r="AI189" s="178"/>
      <c r="AJ189" s="178"/>
      <c r="AK189" s="178"/>
      <c r="AL189" s="178"/>
      <c r="AM189" s="178"/>
      <c r="AN189" s="178"/>
      <c r="AO189" s="178"/>
      <c r="AP189" s="150"/>
      <c r="AQ189" s="148"/>
      <c r="AR189" s="148"/>
      <c r="AS189" s="148"/>
    </row>
    <row r="190" spans="2:45" ht="18" customHeight="1" thickBot="1" x14ac:dyDescent="0.25">
      <c r="B190" s="145">
        <v>14</v>
      </c>
      <c r="C190" s="148"/>
      <c r="D190" s="148"/>
      <c r="E190" s="185" t="s">
        <v>508</v>
      </c>
      <c r="F190" s="100"/>
      <c r="G190" s="181"/>
      <c r="H190" s="181"/>
      <c r="I190" s="186"/>
      <c r="J190" s="218" t="str">
        <f>IFERROR(VLOOKUP($F190,補助対象研修一覧!$A$2:$K$224,2,FALSE),"")</f>
        <v/>
      </c>
      <c r="K190" s="219"/>
      <c r="L190" s="219"/>
      <c r="M190" s="219"/>
      <c r="N190" s="219"/>
      <c r="O190" s="219"/>
      <c r="P190" s="220"/>
      <c r="Q190" s="181"/>
      <c r="R190" s="181"/>
      <c r="S190" s="181"/>
      <c r="T190" s="181"/>
      <c r="U190" s="181"/>
      <c r="V190" s="181"/>
      <c r="W190" s="148"/>
      <c r="X190" s="247" t="str">
        <f>IF($B190&lt;=入力シート!$F$22,""&amp;中間シート!X228,"")</f>
        <v/>
      </c>
      <c r="Y190" s="247"/>
      <c r="Z190" s="247"/>
      <c r="AA190" s="247"/>
      <c r="AB190" s="247"/>
      <c r="AC190" s="247"/>
      <c r="AD190" s="247"/>
      <c r="AE190" s="247"/>
      <c r="AF190" s="247"/>
      <c r="AG190" s="247"/>
      <c r="AH190" s="247"/>
      <c r="AI190" s="247"/>
      <c r="AJ190" s="247"/>
      <c r="AK190" s="247"/>
      <c r="AL190" s="247"/>
      <c r="AM190" s="247"/>
      <c r="AN190" s="247"/>
      <c r="AO190" s="247"/>
      <c r="AP190" s="150"/>
      <c r="AQ190" s="177">
        <f>IF(J190&lt;&gt;"",1,0)</f>
        <v>0</v>
      </c>
      <c r="AR190" s="148">
        <f>IF(H190&lt;&gt;"",1,0)</f>
        <v>0</v>
      </c>
      <c r="AS190" s="148"/>
    </row>
    <row r="191" spans="2:45" x14ac:dyDescent="0.2">
      <c r="C191" s="148"/>
      <c r="D191" s="148"/>
      <c r="E191" s="181"/>
      <c r="F191" s="182"/>
      <c r="G191" s="181"/>
      <c r="H191" s="181"/>
      <c r="I191" s="183"/>
      <c r="J191" s="177"/>
      <c r="K191" s="177"/>
      <c r="L191" s="177"/>
      <c r="M191" s="177"/>
      <c r="N191" s="177"/>
      <c r="O191" s="177"/>
      <c r="P191" s="177"/>
      <c r="Q191" s="181"/>
      <c r="R191" s="181"/>
      <c r="S191" s="181"/>
      <c r="T191" s="181"/>
      <c r="U191" s="181"/>
      <c r="V191" s="181"/>
      <c r="W191" s="148"/>
      <c r="X191" s="178" t="s">
        <v>79</v>
      </c>
      <c r="Y191" s="178"/>
      <c r="Z191" s="178"/>
      <c r="AA191" s="178"/>
      <c r="AB191" s="178"/>
      <c r="AC191" s="178"/>
      <c r="AD191" s="178"/>
      <c r="AE191" s="178"/>
      <c r="AF191" s="178"/>
      <c r="AG191" s="178"/>
      <c r="AH191" s="178"/>
      <c r="AI191" s="178"/>
      <c r="AJ191" s="178"/>
      <c r="AK191" s="178"/>
      <c r="AL191" s="178"/>
      <c r="AM191" s="178"/>
      <c r="AN191" s="178"/>
      <c r="AO191" s="178"/>
      <c r="AQ191" s="148"/>
      <c r="AR191" s="148"/>
      <c r="AS191" s="148"/>
    </row>
    <row r="192" spans="2:45" ht="15.6" thickBot="1" x14ac:dyDescent="0.25">
      <c r="C192" s="170"/>
      <c r="D192" s="170"/>
      <c r="E192" s="174"/>
      <c r="F192" s="179"/>
      <c r="G192" s="174"/>
      <c r="H192" s="174"/>
      <c r="I192" s="180"/>
      <c r="J192" s="175"/>
      <c r="K192" s="175"/>
      <c r="L192" s="175"/>
      <c r="M192" s="175"/>
      <c r="N192" s="175"/>
      <c r="O192" s="175"/>
      <c r="P192" s="175"/>
      <c r="Q192" s="175"/>
      <c r="R192" s="174"/>
      <c r="S192" s="174"/>
      <c r="T192" s="174"/>
      <c r="U192" s="174"/>
      <c r="V192" s="174"/>
      <c r="W192" s="170"/>
      <c r="X192" s="178" t="s">
        <v>79</v>
      </c>
      <c r="Y192" s="178"/>
      <c r="Z192" s="178"/>
      <c r="AA192" s="178"/>
      <c r="AB192" s="178"/>
      <c r="AC192" s="178"/>
      <c r="AD192" s="178"/>
      <c r="AE192" s="178"/>
      <c r="AF192" s="178"/>
      <c r="AG192" s="178"/>
      <c r="AH192" s="178"/>
      <c r="AI192" s="178"/>
      <c r="AJ192" s="178"/>
      <c r="AK192" s="178"/>
      <c r="AL192" s="178"/>
      <c r="AM192" s="178"/>
      <c r="AN192" s="178"/>
      <c r="AO192" s="178"/>
      <c r="AQ192" s="148"/>
      <c r="AR192" s="148"/>
      <c r="AS192" s="148"/>
    </row>
    <row r="193" spans="2:45" ht="18" customHeight="1" thickBot="1" x14ac:dyDescent="0.25">
      <c r="B193" s="145">
        <v>15</v>
      </c>
      <c r="C193" s="170"/>
      <c r="D193" s="171" t="s">
        <v>61</v>
      </c>
      <c r="E193" s="172" t="s">
        <v>506</v>
      </c>
      <c r="F193" s="100"/>
      <c r="G193" s="170"/>
      <c r="H193" s="174"/>
      <c r="I193" s="173"/>
      <c r="J193" s="218" t="str">
        <f>IFERROR(VLOOKUP($F193,補助対象研修一覧!$A$2:$K$224,2,FALSE),"")</f>
        <v/>
      </c>
      <c r="K193" s="219"/>
      <c r="L193" s="219"/>
      <c r="M193" s="219"/>
      <c r="N193" s="219"/>
      <c r="O193" s="219"/>
      <c r="P193" s="220"/>
      <c r="Q193" s="175"/>
      <c r="R193" s="174"/>
      <c r="S193" s="174"/>
      <c r="T193" s="174"/>
      <c r="U193" s="174"/>
      <c r="V193" s="174"/>
      <c r="W193" s="170"/>
      <c r="X193" s="247" t="str">
        <f>IF($B193&lt;=入力シート!$F$22,""&amp;中間シート!X229,"")</f>
        <v/>
      </c>
      <c r="Y193" s="247"/>
      <c r="Z193" s="247"/>
      <c r="AA193" s="247"/>
      <c r="AB193" s="247"/>
      <c r="AC193" s="247"/>
      <c r="AD193" s="247"/>
      <c r="AE193" s="247"/>
      <c r="AF193" s="247"/>
      <c r="AG193" s="247"/>
      <c r="AH193" s="247"/>
      <c r="AI193" s="247"/>
      <c r="AJ193" s="247"/>
      <c r="AK193" s="247"/>
      <c r="AL193" s="247"/>
      <c r="AM193" s="247"/>
      <c r="AN193" s="247"/>
      <c r="AO193" s="247"/>
      <c r="AQ193" s="177">
        <f>IF(J193&lt;&gt;"",1,0)</f>
        <v>0</v>
      </c>
      <c r="AR193" s="148">
        <f>IF(H193&lt;&gt;"",1,0)</f>
        <v>0</v>
      </c>
      <c r="AS193" s="148"/>
    </row>
    <row r="194" spans="2:45" ht="5.0999999999999996" customHeight="1" thickBot="1" x14ac:dyDescent="0.25">
      <c r="C194" s="170"/>
      <c r="D194" s="170"/>
      <c r="E194" s="174"/>
      <c r="F194" s="175"/>
      <c r="G194" s="174"/>
      <c r="H194" s="174"/>
      <c r="I194" s="173"/>
      <c r="J194" s="175"/>
      <c r="K194" s="175"/>
      <c r="L194" s="175"/>
      <c r="M194" s="175"/>
      <c r="N194" s="175"/>
      <c r="O194" s="175"/>
      <c r="P194" s="175"/>
      <c r="Q194" s="175"/>
      <c r="R194" s="174"/>
      <c r="S194" s="174"/>
      <c r="T194" s="174"/>
      <c r="U194" s="174"/>
      <c r="V194" s="174"/>
      <c r="W194" s="170"/>
      <c r="X194" s="178" t="s">
        <v>79</v>
      </c>
      <c r="Y194" s="178"/>
      <c r="Z194" s="178"/>
      <c r="AA194" s="178"/>
      <c r="AB194" s="178"/>
      <c r="AC194" s="178"/>
      <c r="AD194" s="178"/>
      <c r="AE194" s="178"/>
      <c r="AF194" s="178"/>
      <c r="AG194" s="178"/>
      <c r="AH194" s="178"/>
      <c r="AI194" s="178"/>
      <c r="AJ194" s="178"/>
      <c r="AK194" s="178"/>
      <c r="AL194" s="178"/>
      <c r="AM194" s="178"/>
      <c r="AN194" s="178"/>
      <c r="AO194" s="178"/>
      <c r="AP194" s="150"/>
      <c r="AQ194" s="148"/>
      <c r="AR194" s="148"/>
      <c r="AS194" s="148"/>
    </row>
    <row r="195" spans="2:45" ht="18" customHeight="1" thickBot="1" x14ac:dyDescent="0.25">
      <c r="B195" s="145">
        <v>15</v>
      </c>
      <c r="C195" s="170"/>
      <c r="D195" s="170"/>
      <c r="E195" s="172" t="s">
        <v>507</v>
      </c>
      <c r="F195" s="100"/>
      <c r="G195" s="174"/>
      <c r="H195" s="174"/>
      <c r="I195" s="173"/>
      <c r="J195" s="218" t="str">
        <f>IFERROR(VLOOKUP($F195,補助対象研修一覧!$A$2:$K$224,2,FALSE),"")</f>
        <v/>
      </c>
      <c r="K195" s="219"/>
      <c r="L195" s="219"/>
      <c r="M195" s="219"/>
      <c r="N195" s="219"/>
      <c r="O195" s="219"/>
      <c r="P195" s="220"/>
      <c r="Q195" s="175"/>
      <c r="R195" s="174"/>
      <c r="S195" s="174"/>
      <c r="T195" s="174"/>
      <c r="U195" s="174"/>
      <c r="V195" s="174"/>
      <c r="W195" s="170"/>
      <c r="X195" s="247" t="str">
        <f>IF($B195&lt;=入力シート!$F$22,""&amp;中間シート!X230,"")</f>
        <v/>
      </c>
      <c r="Y195" s="247"/>
      <c r="Z195" s="247"/>
      <c r="AA195" s="247"/>
      <c r="AB195" s="247"/>
      <c r="AC195" s="247"/>
      <c r="AD195" s="247"/>
      <c r="AE195" s="247"/>
      <c r="AF195" s="247"/>
      <c r="AG195" s="247"/>
      <c r="AH195" s="247"/>
      <c r="AI195" s="247"/>
      <c r="AJ195" s="247"/>
      <c r="AK195" s="247"/>
      <c r="AL195" s="247"/>
      <c r="AM195" s="247"/>
      <c r="AN195" s="247"/>
      <c r="AO195" s="247"/>
      <c r="AP195" s="150"/>
      <c r="AQ195" s="177">
        <f>IF(J195&lt;&gt;"",1,0)</f>
        <v>0</v>
      </c>
      <c r="AR195" s="148">
        <f>IF(H195&lt;&gt;"",1,0)</f>
        <v>0</v>
      </c>
      <c r="AS195" s="148"/>
    </row>
    <row r="196" spans="2:45" ht="5.0999999999999996" customHeight="1" thickBot="1" x14ac:dyDescent="0.25">
      <c r="C196" s="170"/>
      <c r="D196" s="170"/>
      <c r="E196" s="172"/>
      <c r="F196" s="179"/>
      <c r="G196" s="174"/>
      <c r="H196" s="174"/>
      <c r="I196" s="173"/>
      <c r="J196" s="179"/>
      <c r="K196" s="179"/>
      <c r="L196" s="179"/>
      <c r="M196" s="175"/>
      <c r="N196" s="179"/>
      <c r="O196" s="179"/>
      <c r="P196" s="179"/>
      <c r="Q196" s="175"/>
      <c r="R196" s="174"/>
      <c r="S196" s="174"/>
      <c r="T196" s="174"/>
      <c r="U196" s="174"/>
      <c r="V196" s="174"/>
      <c r="W196" s="170"/>
      <c r="X196" s="178" t="s">
        <v>79</v>
      </c>
      <c r="Y196" s="178"/>
      <c r="Z196" s="178"/>
      <c r="AA196" s="178"/>
      <c r="AB196" s="178"/>
      <c r="AC196" s="178"/>
      <c r="AD196" s="178"/>
      <c r="AE196" s="178"/>
      <c r="AF196" s="178"/>
      <c r="AG196" s="178"/>
      <c r="AH196" s="178"/>
      <c r="AI196" s="178"/>
      <c r="AJ196" s="178"/>
      <c r="AK196" s="178"/>
      <c r="AL196" s="178"/>
      <c r="AM196" s="178"/>
      <c r="AN196" s="178"/>
      <c r="AO196" s="178"/>
      <c r="AP196" s="150"/>
      <c r="AQ196" s="148"/>
      <c r="AR196" s="148"/>
      <c r="AS196" s="148"/>
    </row>
    <row r="197" spans="2:45" ht="18" customHeight="1" thickBot="1" x14ac:dyDescent="0.25">
      <c r="B197" s="145">
        <v>15</v>
      </c>
      <c r="C197" s="170"/>
      <c r="D197" s="170"/>
      <c r="E197" s="172" t="s">
        <v>508</v>
      </c>
      <c r="F197" s="100"/>
      <c r="G197" s="174"/>
      <c r="H197" s="174"/>
      <c r="I197" s="173"/>
      <c r="J197" s="218" t="str">
        <f>IFERROR(VLOOKUP($F197,補助対象研修一覧!$A$2:$K$224,2,FALSE),"")</f>
        <v/>
      </c>
      <c r="K197" s="219"/>
      <c r="L197" s="219"/>
      <c r="M197" s="219"/>
      <c r="N197" s="219"/>
      <c r="O197" s="219"/>
      <c r="P197" s="220"/>
      <c r="Q197" s="175"/>
      <c r="R197" s="174"/>
      <c r="S197" s="174"/>
      <c r="T197" s="174"/>
      <c r="U197" s="174"/>
      <c r="V197" s="174"/>
      <c r="W197" s="170"/>
      <c r="X197" s="247" t="str">
        <f>IF($B197&lt;=入力シート!$F$22,""&amp;中間シート!X231,"")</f>
        <v/>
      </c>
      <c r="Y197" s="247"/>
      <c r="Z197" s="247"/>
      <c r="AA197" s="247"/>
      <c r="AB197" s="247"/>
      <c r="AC197" s="247"/>
      <c r="AD197" s="247"/>
      <c r="AE197" s="247"/>
      <c r="AF197" s="247"/>
      <c r="AG197" s="247"/>
      <c r="AH197" s="247"/>
      <c r="AI197" s="247"/>
      <c r="AJ197" s="247"/>
      <c r="AK197" s="247"/>
      <c r="AL197" s="247"/>
      <c r="AM197" s="247"/>
      <c r="AN197" s="247"/>
      <c r="AO197" s="247"/>
      <c r="AP197" s="150"/>
      <c r="AQ197" s="177">
        <f>IF(J197&lt;&gt;"",1,0)</f>
        <v>0</v>
      </c>
      <c r="AR197" s="148">
        <f>IF(H197&lt;&gt;"",1,0)</f>
        <v>0</v>
      </c>
      <c r="AS197" s="148"/>
    </row>
    <row r="198" spans="2:45" x14ac:dyDescent="0.2">
      <c r="C198" s="170"/>
      <c r="D198" s="170"/>
      <c r="E198" s="174"/>
      <c r="F198" s="179"/>
      <c r="G198" s="174"/>
      <c r="H198" s="174"/>
      <c r="I198" s="180"/>
      <c r="J198" s="175"/>
      <c r="K198" s="175"/>
      <c r="L198" s="175"/>
      <c r="M198" s="175"/>
      <c r="N198" s="175"/>
      <c r="O198" s="175"/>
      <c r="P198" s="175"/>
      <c r="Q198" s="175"/>
      <c r="R198" s="174"/>
      <c r="S198" s="174"/>
      <c r="T198" s="174"/>
      <c r="U198" s="174"/>
      <c r="V198" s="174"/>
      <c r="W198" s="170"/>
      <c r="X198" s="178" t="s">
        <v>79</v>
      </c>
      <c r="Y198" s="178"/>
      <c r="Z198" s="178"/>
      <c r="AA198" s="178"/>
      <c r="AB198" s="178"/>
      <c r="AC198" s="178"/>
      <c r="AD198" s="178"/>
      <c r="AE198" s="178"/>
      <c r="AF198" s="178"/>
      <c r="AG198" s="178"/>
      <c r="AH198" s="178"/>
      <c r="AI198" s="178"/>
      <c r="AJ198" s="178"/>
      <c r="AK198" s="178"/>
      <c r="AL198" s="178"/>
      <c r="AM198" s="178"/>
      <c r="AN198" s="178"/>
      <c r="AO198" s="178"/>
      <c r="AQ198" s="148"/>
      <c r="AR198" s="148"/>
      <c r="AS198" s="148"/>
    </row>
    <row r="199" spans="2:45" ht="15.6" thickBot="1" x14ac:dyDescent="0.25">
      <c r="C199" s="148"/>
      <c r="D199" s="148"/>
      <c r="E199" s="181"/>
      <c r="F199" s="182"/>
      <c r="G199" s="181"/>
      <c r="H199" s="181"/>
      <c r="I199" s="183"/>
      <c r="J199" s="177"/>
      <c r="K199" s="177"/>
      <c r="L199" s="177"/>
      <c r="M199" s="177"/>
      <c r="N199" s="177"/>
      <c r="O199" s="177"/>
      <c r="P199" s="177"/>
      <c r="Q199" s="177"/>
      <c r="R199" s="181"/>
      <c r="S199" s="181"/>
      <c r="T199" s="181"/>
      <c r="U199" s="181"/>
      <c r="V199" s="181"/>
      <c r="W199" s="148"/>
      <c r="X199" s="178" t="s">
        <v>79</v>
      </c>
      <c r="Y199" s="178"/>
      <c r="Z199" s="178"/>
      <c r="AA199" s="178"/>
      <c r="AB199" s="178"/>
      <c r="AC199" s="178"/>
      <c r="AD199" s="178"/>
      <c r="AE199" s="178"/>
      <c r="AF199" s="178"/>
      <c r="AG199" s="178"/>
      <c r="AH199" s="178"/>
      <c r="AI199" s="178"/>
      <c r="AJ199" s="178"/>
      <c r="AK199" s="178"/>
      <c r="AL199" s="178"/>
      <c r="AM199" s="178"/>
      <c r="AN199" s="178"/>
      <c r="AO199" s="178"/>
      <c r="AQ199" s="148"/>
      <c r="AR199" s="148"/>
      <c r="AS199" s="148"/>
    </row>
    <row r="200" spans="2:45" ht="18" customHeight="1" thickBot="1" x14ac:dyDescent="0.25">
      <c r="B200" s="145">
        <v>16</v>
      </c>
      <c r="C200" s="148"/>
      <c r="D200" s="184" t="s">
        <v>62</v>
      </c>
      <c r="E200" s="185" t="s">
        <v>506</v>
      </c>
      <c r="F200" s="100"/>
      <c r="G200" s="181"/>
      <c r="H200" s="181"/>
      <c r="I200" s="186"/>
      <c r="J200" s="218" t="str">
        <f>IFERROR(VLOOKUP($F200,補助対象研修一覧!$A$2:$K$224,2,FALSE),"")</f>
        <v/>
      </c>
      <c r="K200" s="219"/>
      <c r="L200" s="219"/>
      <c r="M200" s="219"/>
      <c r="N200" s="219"/>
      <c r="O200" s="219"/>
      <c r="P200" s="220"/>
      <c r="Q200" s="177"/>
      <c r="R200" s="181"/>
      <c r="S200" s="181"/>
      <c r="T200" s="181"/>
      <c r="U200" s="181"/>
      <c r="V200" s="181"/>
      <c r="W200" s="148"/>
      <c r="X200" s="247" t="str">
        <f>IF($B200&lt;=入力シート!$F$22,""&amp;中間シート!X232,"")</f>
        <v/>
      </c>
      <c r="Y200" s="247"/>
      <c r="Z200" s="247"/>
      <c r="AA200" s="247"/>
      <c r="AB200" s="247"/>
      <c r="AC200" s="247"/>
      <c r="AD200" s="247"/>
      <c r="AE200" s="247"/>
      <c r="AF200" s="247"/>
      <c r="AG200" s="247"/>
      <c r="AH200" s="247"/>
      <c r="AI200" s="247"/>
      <c r="AJ200" s="247"/>
      <c r="AK200" s="247"/>
      <c r="AL200" s="247"/>
      <c r="AM200" s="247"/>
      <c r="AN200" s="247"/>
      <c r="AO200" s="247"/>
      <c r="AQ200" s="177">
        <f>IF(J200&lt;&gt;"",1,0)</f>
        <v>0</v>
      </c>
      <c r="AR200" s="148">
        <f>IF(H200&lt;&gt;"",1,0)</f>
        <v>0</v>
      </c>
      <c r="AS200" s="148"/>
    </row>
    <row r="201" spans="2:45" ht="5.0999999999999996" customHeight="1" thickBot="1" x14ac:dyDescent="0.25">
      <c r="C201" s="148"/>
      <c r="D201" s="148"/>
      <c r="E201" s="181"/>
      <c r="F201" s="177"/>
      <c r="G201" s="181"/>
      <c r="H201" s="181"/>
      <c r="I201" s="186"/>
      <c r="J201" s="177"/>
      <c r="K201" s="177"/>
      <c r="L201" s="177"/>
      <c r="M201" s="177"/>
      <c r="N201" s="177"/>
      <c r="O201" s="177"/>
      <c r="P201" s="177"/>
      <c r="Q201" s="177"/>
      <c r="R201" s="181"/>
      <c r="S201" s="181"/>
      <c r="T201" s="181"/>
      <c r="U201" s="181"/>
      <c r="V201" s="181"/>
      <c r="W201" s="148"/>
      <c r="X201" s="178" t="s">
        <v>79</v>
      </c>
      <c r="Y201" s="178"/>
      <c r="Z201" s="178"/>
      <c r="AA201" s="178"/>
      <c r="AB201" s="178"/>
      <c r="AC201" s="178"/>
      <c r="AD201" s="178"/>
      <c r="AE201" s="178"/>
      <c r="AF201" s="178"/>
      <c r="AG201" s="178"/>
      <c r="AH201" s="178"/>
      <c r="AI201" s="178"/>
      <c r="AJ201" s="178"/>
      <c r="AK201" s="178"/>
      <c r="AL201" s="178"/>
      <c r="AM201" s="178"/>
      <c r="AN201" s="178"/>
      <c r="AO201" s="178"/>
      <c r="AP201" s="150"/>
      <c r="AQ201" s="148"/>
      <c r="AR201" s="148"/>
      <c r="AS201" s="148"/>
    </row>
    <row r="202" spans="2:45" ht="18" customHeight="1" thickBot="1" x14ac:dyDescent="0.25">
      <c r="B202" s="145">
        <v>16</v>
      </c>
      <c r="C202" s="148"/>
      <c r="D202" s="148"/>
      <c r="E202" s="185" t="s">
        <v>507</v>
      </c>
      <c r="F202" s="100"/>
      <c r="G202" s="181"/>
      <c r="H202" s="181"/>
      <c r="I202" s="186"/>
      <c r="J202" s="218" t="str">
        <f>IFERROR(VLOOKUP($F202,補助対象研修一覧!$A$2:$K$224,2,FALSE),"")</f>
        <v/>
      </c>
      <c r="K202" s="219"/>
      <c r="L202" s="219"/>
      <c r="M202" s="219"/>
      <c r="N202" s="219"/>
      <c r="O202" s="219"/>
      <c r="P202" s="220"/>
      <c r="Q202" s="177"/>
      <c r="R202" s="181"/>
      <c r="S202" s="181"/>
      <c r="T202" s="181"/>
      <c r="U202" s="181"/>
      <c r="V202" s="181"/>
      <c r="W202" s="148"/>
      <c r="X202" s="247" t="str">
        <f>IF($B202&lt;=入力シート!$F$22,""&amp;中間シート!X233,"")</f>
        <v/>
      </c>
      <c r="Y202" s="247"/>
      <c r="Z202" s="247"/>
      <c r="AA202" s="247"/>
      <c r="AB202" s="247"/>
      <c r="AC202" s="247"/>
      <c r="AD202" s="247"/>
      <c r="AE202" s="247"/>
      <c r="AF202" s="247"/>
      <c r="AG202" s="247"/>
      <c r="AH202" s="247"/>
      <c r="AI202" s="247"/>
      <c r="AJ202" s="247"/>
      <c r="AK202" s="247"/>
      <c r="AL202" s="247"/>
      <c r="AM202" s="247"/>
      <c r="AN202" s="247"/>
      <c r="AO202" s="247"/>
      <c r="AP202" s="150"/>
      <c r="AQ202" s="177">
        <f>IF(J202&lt;&gt;"",1,0)</f>
        <v>0</v>
      </c>
      <c r="AR202" s="148">
        <f>IF(H202&lt;&gt;"",1,0)</f>
        <v>0</v>
      </c>
      <c r="AS202" s="148"/>
    </row>
    <row r="203" spans="2:45" ht="5.0999999999999996" customHeight="1" thickBot="1" x14ac:dyDescent="0.25">
      <c r="C203" s="148"/>
      <c r="D203" s="148"/>
      <c r="E203" s="185"/>
      <c r="F203" s="182"/>
      <c r="G203" s="181"/>
      <c r="H203" s="181"/>
      <c r="I203" s="186"/>
      <c r="J203" s="182"/>
      <c r="K203" s="182"/>
      <c r="L203" s="182"/>
      <c r="M203" s="177"/>
      <c r="N203" s="182"/>
      <c r="O203" s="182"/>
      <c r="P203" s="182"/>
      <c r="Q203" s="177"/>
      <c r="R203" s="181"/>
      <c r="S203" s="181"/>
      <c r="T203" s="181"/>
      <c r="U203" s="181"/>
      <c r="V203" s="181"/>
      <c r="W203" s="148"/>
      <c r="X203" s="178" t="s">
        <v>79</v>
      </c>
      <c r="Y203" s="178"/>
      <c r="Z203" s="178"/>
      <c r="AA203" s="178"/>
      <c r="AB203" s="178"/>
      <c r="AC203" s="178"/>
      <c r="AD203" s="178"/>
      <c r="AE203" s="178"/>
      <c r="AF203" s="178"/>
      <c r="AG203" s="178"/>
      <c r="AH203" s="178"/>
      <c r="AI203" s="178"/>
      <c r="AJ203" s="178"/>
      <c r="AK203" s="178"/>
      <c r="AL203" s="178"/>
      <c r="AM203" s="178"/>
      <c r="AN203" s="178"/>
      <c r="AO203" s="178"/>
      <c r="AP203" s="150"/>
      <c r="AQ203" s="148"/>
      <c r="AR203" s="148"/>
      <c r="AS203" s="148"/>
    </row>
    <row r="204" spans="2:45" ht="18" customHeight="1" thickBot="1" x14ac:dyDescent="0.25">
      <c r="B204" s="145">
        <v>16</v>
      </c>
      <c r="C204" s="148"/>
      <c r="D204" s="148"/>
      <c r="E204" s="185" t="s">
        <v>508</v>
      </c>
      <c r="F204" s="100"/>
      <c r="G204" s="181"/>
      <c r="H204" s="181"/>
      <c r="I204" s="186"/>
      <c r="J204" s="218" t="str">
        <f>IFERROR(VLOOKUP($F204,補助対象研修一覧!$A$2:$K$224,2,FALSE),"")</f>
        <v/>
      </c>
      <c r="K204" s="219"/>
      <c r="L204" s="219"/>
      <c r="M204" s="219"/>
      <c r="N204" s="219"/>
      <c r="O204" s="219"/>
      <c r="P204" s="220"/>
      <c r="Q204" s="177"/>
      <c r="R204" s="181"/>
      <c r="S204" s="181"/>
      <c r="T204" s="181"/>
      <c r="U204" s="181"/>
      <c r="V204" s="181"/>
      <c r="W204" s="148"/>
      <c r="X204" s="247" t="str">
        <f>IF($B204&lt;=入力シート!$F$22,""&amp;中間シート!X234,"")</f>
        <v/>
      </c>
      <c r="Y204" s="247"/>
      <c r="Z204" s="247"/>
      <c r="AA204" s="247"/>
      <c r="AB204" s="247"/>
      <c r="AC204" s="247"/>
      <c r="AD204" s="247"/>
      <c r="AE204" s="247"/>
      <c r="AF204" s="247"/>
      <c r="AG204" s="247"/>
      <c r="AH204" s="247"/>
      <c r="AI204" s="247"/>
      <c r="AJ204" s="247"/>
      <c r="AK204" s="247"/>
      <c r="AL204" s="247"/>
      <c r="AM204" s="247"/>
      <c r="AN204" s="247"/>
      <c r="AO204" s="247"/>
      <c r="AP204" s="150"/>
      <c r="AQ204" s="177">
        <f>IF(J204&lt;&gt;"",1,0)</f>
        <v>0</v>
      </c>
      <c r="AR204" s="148">
        <f>IF(H204&lt;&gt;"",1,0)</f>
        <v>0</v>
      </c>
      <c r="AS204" s="148"/>
    </row>
    <row r="205" spans="2:45" x14ac:dyDescent="0.2">
      <c r="C205" s="148"/>
      <c r="D205" s="148"/>
      <c r="E205" s="181"/>
      <c r="F205" s="182"/>
      <c r="G205" s="181"/>
      <c r="H205" s="181"/>
      <c r="I205" s="183"/>
      <c r="J205" s="177"/>
      <c r="K205" s="177"/>
      <c r="L205" s="177"/>
      <c r="M205" s="177"/>
      <c r="N205" s="177"/>
      <c r="O205" s="177"/>
      <c r="P205" s="177"/>
      <c r="Q205" s="177"/>
      <c r="R205" s="181"/>
      <c r="S205" s="181"/>
      <c r="T205" s="181"/>
      <c r="U205" s="181"/>
      <c r="V205" s="181"/>
      <c r="W205" s="148"/>
      <c r="X205" s="178" t="s">
        <v>79</v>
      </c>
      <c r="Y205" s="178"/>
      <c r="Z205" s="178"/>
      <c r="AA205" s="178"/>
      <c r="AB205" s="178"/>
      <c r="AC205" s="178"/>
      <c r="AD205" s="178"/>
      <c r="AE205" s="178"/>
      <c r="AF205" s="178"/>
      <c r="AG205" s="178"/>
      <c r="AH205" s="178"/>
      <c r="AI205" s="178"/>
      <c r="AJ205" s="178"/>
      <c r="AK205" s="178"/>
      <c r="AL205" s="178"/>
      <c r="AM205" s="178"/>
      <c r="AN205" s="178"/>
      <c r="AO205" s="178"/>
      <c r="AQ205" s="148"/>
      <c r="AR205" s="148"/>
      <c r="AS205" s="148"/>
    </row>
    <row r="206" spans="2:45" ht="15.6" thickBot="1" x14ac:dyDescent="0.25">
      <c r="C206" s="170"/>
      <c r="D206" s="170"/>
      <c r="E206" s="174"/>
      <c r="F206" s="179"/>
      <c r="G206" s="174"/>
      <c r="H206" s="174"/>
      <c r="I206" s="180"/>
      <c r="J206" s="175"/>
      <c r="K206" s="175"/>
      <c r="L206" s="175"/>
      <c r="M206" s="175"/>
      <c r="N206" s="175"/>
      <c r="O206" s="175"/>
      <c r="P206" s="175"/>
      <c r="Q206" s="175"/>
      <c r="R206" s="174"/>
      <c r="S206" s="174"/>
      <c r="T206" s="174"/>
      <c r="U206" s="174"/>
      <c r="V206" s="174"/>
      <c r="W206" s="170"/>
      <c r="X206" s="178" t="s">
        <v>79</v>
      </c>
      <c r="Y206" s="178"/>
      <c r="Z206" s="178"/>
      <c r="AA206" s="178"/>
      <c r="AB206" s="178"/>
      <c r="AC206" s="178"/>
      <c r="AD206" s="178"/>
      <c r="AE206" s="178"/>
      <c r="AF206" s="178"/>
      <c r="AG206" s="178"/>
      <c r="AH206" s="178"/>
      <c r="AI206" s="178"/>
      <c r="AJ206" s="178"/>
      <c r="AK206" s="178"/>
      <c r="AL206" s="178"/>
      <c r="AM206" s="178"/>
      <c r="AN206" s="178"/>
      <c r="AO206" s="178"/>
      <c r="AQ206" s="148"/>
      <c r="AR206" s="148"/>
      <c r="AS206" s="148"/>
    </row>
    <row r="207" spans="2:45" ht="18" customHeight="1" thickBot="1" x14ac:dyDescent="0.25">
      <c r="B207" s="145">
        <v>17</v>
      </c>
      <c r="C207" s="170"/>
      <c r="D207" s="171" t="s">
        <v>63</v>
      </c>
      <c r="E207" s="172" t="s">
        <v>506</v>
      </c>
      <c r="F207" s="100"/>
      <c r="G207" s="170"/>
      <c r="H207" s="174"/>
      <c r="I207" s="173"/>
      <c r="J207" s="218" t="str">
        <f>IFERROR(VLOOKUP($F207,補助対象研修一覧!$A$2:$K$224,2,FALSE),"")</f>
        <v/>
      </c>
      <c r="K207" s="219"/>
      <c r="L207" s="219"/>
      <c r="M207" s="219"/>
      <c r="N207" s="219"/>
      <c r="O207" s="219"/>
      <c r="P207" s="220"/>
      <c r="Q207" s="175"/>
      <c r="R207" s="174"/>
      <c r="S207" s="174"/>
      <c r="T207" s="174"/>
      <c r="U207" s="174"/>
      <c r="V207" s="174"/>
      <c r="W207" s="170"/>
      <c r="X207" s="247" t="str">
        <f>IF($B207&lt;=入力シート!$F$22,""&amp;中間シート!X235,"")</f>
        <v/>
      </c>
      <c r="Y207" s="247"/>
      <c r="Z207" s="247"/>
      <c r="AA207" s="247"/>
      <c r="AB207" s="247"/>
      <c r="AC207" s="247"/>
      <c r="AD207" s="247"/>
      <c r="AE207" s="247"/>
      <c r="AF207" s="247"/>
      <c r="AG207" s="247"/>
      <c r="AH207" s="247"/>
      <c r="AI207" s="247"/>
      <c r="AJ207" s="247"/>
      <c r="AK207" s="247"/>
      <c r="AL207" s="247"/>
      <c r="AM207" s="247"/>
      <c r="AN207" s="247"/>
      <c r="AO207" s="247"/>
      <c r="AQ207" s="177">
        <f>IF(J207&lt;&gt;"",1,0)</f>
        <v>0</v>
      </c>
      <c r="AR207" s="148">
        <f>IF(H207&lt;&gt;"",1,0)</f>
        <v>0</v>
      </c>
      <c r="AS207" s="148"/>
    </row>
    <row r="208" spans="2:45" ht="5.0999999999999996" customHeight="1" thickBot="1" x14ac:dyDescent="0.25">
      <c r="C208" s="170"/>
      <c r="D208" s="170"/>
      <c r="E208" s="174"/>
      <c r="F208" s="175"/>
      <c r="G208" s="174"/>
      <c r="H208" s="174"/>
      <c r="I208" s="173"/>
      <c r="J208" s="175"/>
      <c r="K208" s="175"/>
      <c r="L208" s="175"/>
      <c r="M208" s="175"/>
      <c r="N208" s="175"/>
      <c r="O208" s="175"/>
      <c r="P208" s="175"/>
      <c r="Q208" s="175"/>
      <c r="R208" s="174"/>
      <c r="S208" s="174"/>
      <c r="T208" s="174"/>
      <c r="U208" s="174"/>
      <c r="V208" s="174"/>
      <c r="W208" s="170"/>
      <c r="X208" s="178" t="s">
        <v>79</v>
      </c>
      <c r="Y208" s="178"/>
      <c r="Z208" s="178"/>
      <c r="AA208" s="178"/>
      <c r="AB208" s="178"/>
      <c r="AC208" s="178"/>
      <c r="AD208" s="178"/>
      <c r="AE208" s="178"/>
      <c r="AF208" s="178"/>
      <c r="AG208" s="178"/>
      <c r="AH208" s="178"/>
      <c r="AI208" s="178"/>
      <c r="AJ208" s="178"/>
      <c r="AK208" s="178"/>
      <c r="AL208" s="178"/>
      <c r="AM208" s="178"/>
      <c r="AN208" s="178"/>
      <c r="AO208" s="178"/>
      <c r="AP208" s="150"/>
      <c r="AQ208" s="148"/>
      <c r="AR208" s="148"/>
      <c r="AS208" s="148"/>
    </row>
    <row r="209" spans="2:45" ht="18" customHeight="1" thickBot="1" x14ac:dyDescent="0.25">
      <c r="B209" s="145">
        <v>17</v>
      </c>
      <c r="C209" s="170"/>
      <c r="D209" s="170"/>
      <c r="E209" s="172" t="s">
        <v>507</v>
      </c>
      <c r="F209" s="100"/>
      <c r="G209" s="174"/>
      <c r="H209" s="174"/>
      <c r="I209" s="173"/>
      <c r="J209" s="218" t="str">
        <f>IFERROR(VLOOKUP($F209,補助対象研修一覧!$A$2:$K$224,2,FALSE),"")</f>
        <v/>
      </c>
      <c r="K209" s="219"/>
      <c r="L209" s="219"/>
      <c r="M209" s="219"/>
      <c r="N209" s="219"/>
      <c r="O209" s="219"/>
      <c r="P209" s="220"/>
      <c r="Q209" s="175"/>
      <c r="R209" s="174"/>
      <c r="S209" s="174"/>
      <c r="T209" s="174"/>
      <c r="U209" s="174"/>
      <c r="V209" s="174"/>
      <c r="W209" s="170"/>
      <c r="X209" s="247" t="str">
        <f>IF($B209&lt;=入力シート!$F$22,""&amp;中間シート!X236,"")</f>
        <v/>
      </c>
      <c r="Y209" s="247"/>
      <c r="Z209" s="247"/>
      <c r="AA209" s="247"/>
      <c r="AB209" s="247"/>
      <c r="AC209" s="247"/>
      <c r="AD209" s="247"/>
      <c r="AE209" s="247"/>
      <c r="AF209" s="247"/>
      <c r="AG209" s="247"/>
      <c r="AH209" s="247"/>
      <c r="AI209" s="247"/>
      <c r="AJ209" s="247"/>
      <c r="AK209" s="247"/>
      <c r="AL209" s="247"/>
      <c r="AM209" s="247"/>
      <c r="AN209" s="247"/>
      <c r="AO209" s="247"/>
      <c r="AP209" s="150"/>
      <c r="AQ209" s="177">
        <f>IF(J209&lt;&gt;"",1,0)</f>
        <v>0</v>
      </c>
      <c r="AR209" s="148">
        <f>IF(H209&lt;&gt;"",1,0)</f>
        <v>0</v>
      </c>
      <c r="AS209" s="148"/>
    </row>
    <row r="210" spans="2:45" ht="5.0999999999999996" customHeight="1" thickBot="1" x14ac:dyDescent="0.25">
      <c r="C210" s="170"/>
      <c r="D210" s="170"/>
      <c r="E210" s="172"/>
      <c r="F210" s="179"/>
      <c r="G210" s="174"/>
      <c r="H210" s="174"/>
      <c r="I210" s="173"/>
      <c r="J210" s="179"/>
      <c r="K210" s="179"/>
      <c r="L210" s="179"/>
      <c r="M210" s="175"/>
      <c r="N210" s="179"/>
      <c r="O210" s="179"/>
      <c r="P210" s="179"/>
      <c r="Q210" s="175"/>
      <c r="R210" s="174"/>
      <c r="S210" s="174"/>
      <c r="T210" s="174"/>
      <c r="U210" s="174"/>
      <c r="V210" s="174"/>
      <c r="W210" s="170"/>
      <c r="X210" s="178" t="s">
        <v>79</v>
      </c>
      <c r="Y210" s="178"/>
      <c r="Z210" s="178"/>
      <c r="AA210" s="178"/>
      <c r="AB210" s="178"/>
      <c r="AC210" s="178"/>
      <c r="AD210" s="178"/>
      <c r="AE210" s="178"/>
      <c r="AF210" s="178"/>
      <c r="AG210" s="178"/>
      <c r="AH210" s="178"/>
      <c r="AI210" s="178"/>
      <c r="AJ210" s="178"/>
      <c r="AK210" s="178"/>
      <c r="AL210" s="178"/>
      <c r="AM210" s="178"/>
      <c r="AN210" s="178"/>
      <c r="AO210" s="178"/>
      <c r="AP210" s="150"/>
      <c r="AQ210" s="148"/>
      <c r="AR210" s="148"/>
      <c r="AS210" s="148"/>
    </row>
    <row r="211" spans="2:45" ht="18" customHeight="1" thickBot="1" x14ac:dyDescent="0.25">
      <c r="B211" s="145">
        <v>17</v>
      </c>
      <c r="C211" s="170"/>
      <c r="D211" s="170"/>
      <c r="E211" s="172" t="s">
        <v>508</v>
      </c>
      <c r="F211" s="100"/>
      <c r="G211" s="174"/>
      <c r="H211" s="174"/>
      <c r="I211" s="173"/>
      <c r="J211" s="218" t="str">
        <f>IFERROR(VLOOKUP($F211,補助対象研修一覧!$A$2:$K$224,2,FALSE),"")</f>
        <v/>
      </c>
      <c r="K211" s="219"/>
      <c r="L211" s="219"/>
      <c r="M211" s="219"/>
      <c r="N211" s="219"/>
      <c r="O211" s="219"/>
      <c r="P211" s="220"/>
      <c r="Q211" s="175"/>
      <c r="R211" s="174"/>
      <c r="S211" s="174"/>
      <c r="T211" s="174"/>
      <c r="U211" s="174"/>
      <c r="V211" s="174"/>
      <c r="W211" s="170"/>
      <c r="X211" s="247" t="str">
        <f>IF($B211&lt;=入力シート!$F$22,""&amp;中間シート!X237,"")</f>
        <v/>
      </c>
      <c r="Y211" s="247"/>
      <c r="Z211" s="247"/>
      <c r="AA211" s="247"/>
      <c r="AB211" s="247"/>
      <c r="AC211" s="247"/>
      <c r="AD211" s="247"/>
      <c r="AE211" s="247"/>
      <c r="AF211" s="247"/>
      <c r="AG211" s="247"/>
      <c r="AH211" s="247"/>
      <c r="AI211" s="247"/>
      <c r="AJ211" s="247"/>
      <c r="AK211" s="247"/>
      <c r="AL211" s="247"/>
      <c r="AM211" s="247"/>
      <c r="AN211" s="247"/>
      <c r="AO211" s="247"/>
      <c r="AP211" s="150"/>
      <c r="AQ211" s="177">
        <f>IF(J211&lt;&gt;"",1,0)</f>
        <v>0</v>
      </c>
      <c r="AR211" s="148">
        <f>IF(H211&lt;&gt;"",1,0)</f>
        <v>0</v>
      </c>
      <c r="AS211" s="148"/>
    </row>
    <row r="212" spans="2:45" x14ac:dyDescent="0.2">
      <c r="C212" s="170"/>
      <c r="D212" s="170"/>
      <c r="E212" s="174"/>
      <c r="F212" s="179"/>
      <c r="G212" s="174"/>
      <c r="H212" s="174"/>
      <c r="I212" s="180"/>
      <c r="J212" s="175"/>
      <c r="K212" s="175"/>
      <c r="L212" s="175"/>
      <c r="M212" s="175"/>
      <c r="N212" s="175"/>
      <c r="O212" s="175"/>
      <c r="P212" s="175"/>
      <c r="Q212" s="175"/>
      <c r="R212" s="174"/>
      <c r="S212" s="174"/>
      <c r="T212" s="174"/>
      <c r="U212" s="174"/>
      <c r="V212" s="174"/>
      <c r="W212" s="170"/>
      <c r="X212" s="178" t="s">
        <v>79</v>
      </c>
      <c r="Y212" s="178"/>
      <c r="Z212" s="178"/>
      <c r="AA212" s="178"/>
      <c r="AB212" s="178"/>
      <c r="AC212" s="178"/>
      <c r="AD212" s="178"/>
      <c r="AE212" s="178"/>
      <c r="AF212" s="178"/>
      <c r="AG212" s="178"/>
      <c r="AH212" s="178"/>
      <c r="AI212" s="178"/>
      <c r="AJ212" s="178"/>
      <c r="AK212" s="178"/>
      <c r="AL212" s="178"/>
      <c r="AM212" s="178"/>
      <c r="AN212" s="178"/>
      <c r="AO212" s="178"/>
      <c r="AQ212" s="148"/>
      <c r="AR212" s="148"/>
      <c r="AS212" s="148"/>
    </row>
    <row r="213" spans="2:45" ht="15.6" thickBot="1" x14ac:dyDescent="0.25">
      <c r="C213" s="148"/>
      <c r="D213" s="148"/>
      <c r="E213" s="181"/>
      <c r="F213" s="182"/>
      <c r="G213" s="181"/>
      <c r="H213" s="181"/>
      <c r="I213" s="183"/>
      <c r="J213" s="177"/>
      <c r="K213" s="177"/>
      <c r="L213" s="177"/>
      <c r="M213" s="177"/>
      <c r="N213" s="177"/>
      <c r="O213" s="177"/>
      <c r="P213" s="177"/>
      <c r="Q213" s="181"/>
      <c r="R213" s="181"/>
      <c r="S213" s="181"/>
      <c r="T213" s="181"/>
      <c r="U213" s="181"/>
      <c r="V213" s="181"/>
      <c r="W213" s="148"/>
      <c r="X213" s="178" t="s">
        <v>79</v>
      </c>
      <c r="Y213" s="178"/>
      <c r="Z213" s="178"/>
      <c r="AA213" s="178"/>
      <c r="AB213" s="178"/>
      <c r="AC213" s="178"/>
      <c r="AD213" s="178"/>
      <c r="AE213" s="178"/>
      <c r="AF213" s="178"/>
      <c r="AG213" s="178"/>
      <c r="AH213" s="178"/>
      <c r="AI213" s="178"/>
      <c r="AJ213" s="178"/>
      <c r="AK213" s="178"/>
      <c r="AL213" s="178"/>
      <c r="AM213" s="178"/>
      <c r="AN213" s="178"/>
      <c r="AO213" s="178"/>
      <c r="AQ213" s="148"/>
      <c r="AR213" s="148"/>
      <c r="AS213" s="148"/>
    </row>
    <row r="214" spans="2:45" ht="18" customHeight="1" thickBot="1" x14ac:dyDescent="0.25">
      <c r="B214" s="145">
        <v>18</v>
      </c>
      <c r="C214" s="148"/>
      <c r="D214" s="184" t="s">
        <v>64</v>
      </c>
      <c r="E214" s="185" t="s">
        <v>506</v>
      </c>
      <c r="F214" s="100"/>
      <c r="G214" s="181"/>
      <c r="H214" s="181"/>
      <c r="I214" s="186"/>
      <c r="J214" s="218" t="str">
        <f>IFERROR(VLOOKUP($F214,補助対象研修一覧!$A$2:$K$224,2,FALSE),"")</f>
        <v/>
      </c>
      <c r="K214" s="219"/>
      <c r="L214" s="219"/>
      <c r="M214" s="219"/>
      <c r="N214" s="219"/>
      <c r="O214" s="219"/>
      <c r="P214" s="220"/>
      <c r="Q214" s="181"/>
      <c r="R214" s="181"/>
      <c r="S214" s="181"/>
      <c r="T214" s="181"/>
      <c r="U214" s="181"/>
      <c r="V214" s="181"/>
      <c r="W214" s="148"/>
      <c r="X214" s="247" t="str">
        <f>IF($B214&lt;=入力シート!$F$22,""&amp;中間シート!X238,"")</f>
        <v/>
      </c>
      <c r="Y214" s="247"/>
      <c r="Z214" s="247"/>
      <c r="AA214" s="247"/>
      <c r="AB214" s="247"/>
      <c r="AC214" s="247"/>
      <c r="AD214" s="247"/>
      <c r="AE214" s="247"/>
      <c r="AF214" s="247"/>
      <c r="AG214" s="247"/>
      <c r="AH214" s="247"/>
      <c r="AI214" s="247"/>
      <c r="AJ214" s="247"/>
      <c r="AK214" s="247"/>
      <c r="AL214" s="247"/>
      <c r="AM214" s="247"/>
      <c r="AN214" s="247"/>
      <c r="AO214" s="247"/>
      <c r="AQ214" s="177">
        <f>IF(J214&lt;&gt;"",1,0)</f>
        <v>0</v>
      </c>
      <c r="AR214" s="148">
        <f>IF(H214&lt;&gt;"",1,0)</f>
        <v>0</v>
      </c>
      <c r="AS214" s="148"/>
    </row>
    <row r="215" spans="2:45" ht="5.0999999999999996" customHeight="1" thickBot="1" x14ac:dyDescent="0.25">
      <c r="C215" s="148"/>
      <c r="D215" s="148"/>
      <c r="E215" s="181"/>
      <c r="F215" s="177"/>
      <c r="G215" s="181"/>
      <c r="H215" s="181"/>
      <c r="I215" s="186"/>
      <c r="J215" s="177"/>
      <c r="K215" s="177"/>
      <c r="L215" s="177"/>
      <c r="M215" s="177"/>
      <c r="N215" s="177"/>
      <c r="O215" s="177"/>
      <c r="P215" s="177"/>
      <c r="Q215" s="181"/>
      <c r="R215" s="181"/>
      <c r="S215" s="181"/>
      <c r="T215" s="181"/>
      <c r="U215" s="181"/>
      <c r="V215" s="181"/>
      <c r="W215" s="148"/>
      <c r="X215" s="178" t="s">
        <v>79</v>
      </c>
      <c r="Y215" s="178"/>
      <c r="Z215" s="178"/>
      <c r="AA215" s="178"/>
      <c r="AB215" s="178"/>
      <c r="AC215" s="178"/>
      <c r="AD215" s="178"/>
      <c r="AE215" s="178"/>
      <c r="AF215" s="178"/>
      <c r="AG215" s="178"/>
      <c r="AH215" s="178"/>
      <c r="AI215" s="178"/>
      <c r="AJ215" s="178"/>
      <c r="AK215" s="178"/>
      <c r="AL215" s="178"/>
      <c r="AM215" s="178"/>
      <c r="AN215" s="178"/>
      <c r="AO215" s="178"/>
      <c r="AP215" s="150"/>
      <c r="AQ215" s="148"/>
      <c r="AR215" s="148"/>
      <c r="AS215" s="148"/>
    </row>
    <row r="216" spans="2:45" ht="18" customHeight="1" thickBot="1" x14ac:dyDescent="0.25">
      <c r="B216" s="145">
        <v>18</v>
      </c>
      <c r="C216" s="148"/>
      <c r="D216" s="148"/>
      <c r="E216" s="185" t="s">
        <v>507</v>
      </c>
      <c r="F216" s="100"/>
      <c r="G216" s="181"/>
      <c r="H216" s="181"/>
      <c r="I216" s="186"/>
      <c r="J216" s="218" t="str">
        <f>IFERROR(VLOOKUP($F216,補助対象研修一覧!$A$2:$K$224,2,FALSE),"")</f>
        <v/>
      </c>
      <c r="K216" s="219"/>
      <c r="L216" s="219"/>
      <c r="M216" s="219"/>
      <c r="N216" s="219"/>
      <c r="O216" s="219"/>
      <c r="P216" s="220"/>
      <c r="Q216" s="181"/>
      <c r="R216" s="181"/>
      <c r="S216" s="181"/>
      <c r="T216" s="181"/>
      <c r="U216" s="181"/>
      <c r="V216" s="181"/>
      <c r="W216" s="148"/>
      <c r="X216" s="247" t="str">
        <f>IF($B216&lt;=入力シート!$F$22,""&amp;中間シート!X239,"")</f>
        <v/>
      </c>
      <c r="Y216" s="247"/>
      <c r="Z216" s="247"/>
      <c r="AA216" s="247"/>
      <c r="AB216" s="247"/>
      <c r="AC216" s="247"/>
      <c r="AD216" s="247"/>
      <c r="AE216" s="247"/>
      <c r="AF216" s="247"/>
      <c r="AG216" s="247"/>
      <c r="AH216" s="247"/>
      <c r="AI216" s="247"/>
      <c r="AJ216" s="247"/>
      <c r="AK216" s="247"/>
      <c r="AL216" s="247"/>
      <c r="AM216" s="247"/>
      <c r="AN216" s="247"/>
      <c r="AO216" s="247"/>
      <c r="AP216" s="150"/>
      <c r="AQ216" s="177">
        <f>IF(J216&lt;&gt;"",1,0)</f>
        <v>0</v>
      </c>
      <c r="AR216" s="148">
        <f>IF(H216&lt;&gt;"",1,0)</f>
        <v>0</v>
      </c>
      <c r="AS216" s="148"/>
    </row>
    <row r="217" spans="2:45" ht="5.0999999999999996" customHeight="1" thickBot="1" x14ac:dyDescent="0.25">
      <c r="C217" s="148"/>
      <c r="D217" s="148"/>
      <c r="E217" s="185"/>
      <c r="F217" s="182"/>
      <c r="G217" s="181"/>
      <c r="H217" s="181"/>
      <c r="I217" s="186"/>
      <c r="J217" s="182"/>
      <c r="K217" s="182"/>
      <c r="L217" s="182"/>
      <c r="M217" s="177"/>
      <c r="N217" s="182"/>
      <c r="O217" s="182"/>
      <c r="P217" s="182"/>
      <c r="Q217" s="181"/>
      <c r="R217" s="181"/>
      <c r="S217" s="181"/>
      <c r="T217" s="181"/>
      <c r="U217" s="181"/>
      <c r="V217" s="181"/>
      <c r="W217" s="148"/>
      <c r="X217" s="178" t="s">
        <v>79</v>
      </c>
      <c r="Y217" s="178"/>
      <c r="Z217" s="178"/>
      <c r="AA217" s="178"/>
      <c r="AB217" s="178"/>
      <c r="AC217" s="178"/>
      <c r="AD217" s="178"/>
      <c r="AE217" s="178"/>
      <c r="AF217" s="178"/>
      <c r="AG217" s="178"/>
      <c r="AH217" s="178"/>
      <c r="AI217" s="178"/>
      <c r="AJ217" s="178"/>
      <c r="AK217" s="178"/>
      <c r="AL217" s="178"/>
      <c r="AM217" s="178"/>
      <c r="AN217" s="178"/>
      <c r="AO217" s="178"/>
      <c r="AP217" s="150"/>
      <c r="AQ217" s="148"/>
      <c r="AR217" s="148"/>
      <c r="AS217" s="148"/>
    </row>
    <row r="218" spans="2:45" ht="18" customHeight="1" thickBot="1" x14ac:dyDescent="0.25">
      <c r="B218" s="145">
        <v>18</v>
      </c>
      <c r="C218" s="148"/>
      <c r="D218" s="148"/>
      <c r="E218" s="185" t="s">
        <v>508</v>
      </c>
      <c r="F218" s="100"/>
      <c r="G218" s="181"/>
      <c r="H218" s="181"/>
      <c r="I218" s="186"/>
      <c r="J218" s="218" t="str">
        <f>IFERROR(VLOOKUP($F218,補助対象研修一覧!$A$2:$K$224,2,FALSE),"")</f>
        <v/>
      </c>
      <c r="K218" s="219"/>
      <c r="L218" s="219"/>
      <c r="M218" s="219"/>
      <c r="N218" s="219"/>
      <c r="O218" s="219"/>
      <c r="P218" s="220"/>
      <c r="Q218" s="181"/>
      <c r="R218" s="181"/>
      <c r="S218" s="181"/>
      <c r="T218" s="181"/>
      <c r="U218" s="181"/>
      <c r="V218" s="181"/>
      <c r="W218" s="148"/>
      <c r="X218" s="247" t="str">
        <f>IF($B218&lt;=入力シート!$F$22,""&amp;中間シート!X240,"")</f>
        <v/>
      </c>
      <c r="Y218" s="247"/>
      <c r="Z218" s="247"/>
      <c r="AA218" s="247"/>
      <c r="AB218" s="247"/>
      <c r="AC218" s="247"/>
      <c r="AD218" s="247"/>
      <c r="AE218" s="247"/>
      <c r="AF218" s="247"/>
      <c r="AG218" s="247"/>
      <c r="AH218" s="247"/>
      <c r="AI218" s="247"/>
      <c r="AJ218" s="247"/>
      <c r="AK218" s="247"/>
      <c r="AL218" s="247"/>
      <c r="AM218" s="247"/>
      <c r="AN218" s="247"/>
      <c r="AO218" s="247"/>
      <c r="AP218" s="150"/>
      <c r="AQ218" s="177">
        <f>IF(J218&lt;&gt;"",1,0)</f>
        <v>0</v>
      </c>
      <c r="AR218" s="148">
        <f>IF(H218&lt;&gt;"",1,0)</f>
        <v>0</v>
      </c>
      <c r="AS218" s="148"/>
    </row>
    <row r="219" spans="2:45" x14ac:dyDescent="0.2">
      <c r="C219" s="148"/>
      <c r="D219" s="148"/>
      <c r="E219" s="181"/>
      <c r="F219" s="182"/>
      <c r="G219" s="181"/>
      <c r="H219" s="181"/>
      <c r="I219" s="183"/>
      <c r="J219" s="177"/>
      <c r="K219" s="177"/>
      <c r="L219" s="177"/>
      <c r="M219" s="177"/>
      <c r="N219" s="177"/>
      <c r="O219" s="177"/>
      <c r="P219" s="177"/>
      <c r="Q219" s="181"/>
      <c r="R219" s="181"/>
      <c r="S219" s="181"/>
      <c r="T219" s="181"/>
      <c r="U219" s="181"/>
      <c r="V219" s="181"/>
      <c r="W219" s="148"/>
      <c r="X219" s="178" t="s">
        <v>79</v>
      </c>
      <c r="Y219" s="178"/>
      <c r="Z219" s="178"/>
      <c r="AA219" s="178"/>
      <c r="AB219" s="178"/>
      <c r="AC219" s="178"/>
      <c r="AD219" s="178"/>
      <c r="AE219" s="178"/>
      <c r="AF219" s="178"/>
      <c r="AG219" s="178"/>
      <c r="AH219" s="178"/>
      <c r="AI219" s="178"/>
      <c r="AJ219" s="178"/>
      <c r="AK219" s="178"/>
      <c r="AL219" s="178"/>
      <c r="AM219" s="178"/>
      <c r="AN219" s="178"/>
      <c r="AO219" s="178"/>
      <c r="AQ219" s="148"/>
      <c r="AR219" s="148"/>
      <c r="AS219" s="148"/>
    </row>
    <row r="220" spans="2:45" ht="15.6" thickBot="1" x14ac:dyDescent="0.25">
      <c r="C220" s="170"/>
      <c r="D220" s="170"/>
      <c r="E220" s="174"/>
      <c r="F220" s="179"/>
      <c r="G220" s="174"/>
      <c r="H220" s="174"/>
      <c r="I220" s="180"/>
      <c r="J220" s="175"/>
      <c r="K220" s="175"/>
      <c r="L220" s="175"/>
      <c r="M220" s="175"/>
      <c r="N220" s="175"/>
      <c r="O220" s="175"/>
      <c r="P220" s="175"/>
      <c r="Q220" s="175"/>
      <c r="R220" s="174"/>
      <c r="S220" s="174"/>
      <c r="T220" s="174"/>
      <c r="U220" s="174"/>
      <c r="V220" s="174"/>
      <c r="W220" s="170"/>
      <c r="X220" s="178" t="s">
        <v>79</v>
      </c>
      <c r="Y220" s="178"/>
      <c r="Z220" s="178"/>
      <c r="AA220" s="178"/>
      <c r="AB220" s="178"/>
      <c r="AC220" s="178"/>
      <c r="AD220" s="178"/>
      <c r="AE220" s="178"/>
      <c r="AF220" s="178"/>
      <c r="AG220" s="178"/>
      <c r="AH220" s="178"/>
      <c r="AI220" s="178"/>
      <c r="AJ220" s="178"/>
      <c r="AK220" s="178"/>
      <c r="AL220" s="178"/>
      <c r="AM220" s="178"/>
      <c r="AN220" s="178"/>
      <c r="AO220" s="178"/>
      <c r="AQ220" s="148"/>
      <c r="AR220" s="148"/>
      <c r="AS220" s="148"/>
    </row>
    <row r="221" spans="2:45" ht="18" customHeight="1" thickBot="1" x14ac:dyDescent="0.25">
      <c r="B221" s="145">
        <v>19</v>
      </c>
      <c r="C221" s="170"/>
      <c r="D221" s="171" t="s">
        <v>65</v>
      </c>
      <c r="E221" s="172" t="s">
        <v>506</v>
      </c>
      <c r="F221" s="100"/>
      <c r="G221" s="170"/>
      <c r="H221" s="174"/>
      <c r="I221" s="173"/>
      <c r="J221" s="218" t="str">
        <f>IFERROR(VLOOKUP($F221,補助対象研修一覧!$A$2:$K$224,2,FALSE),"")</f>
        <v/>
      </c>
      <c r="K221" s="219"/>
      <c r="L221" s="219"/>
      <c r="M221" s="219"/>
      <c r="N221" s="219"/>
      <c r="O221" s="219"/>
      <c r="P221" s="220"/>
      <c r="Q221" s="175"/>
      <c r="R221" s="174"/>
      <c r="S221" s="174"/>
      <c r="T221" s="174"/>
      <c r="U221" s="174"/>
      <c r="V221" s="174"/>
      <c r="W221" s="170"/>
      <c r="X221" s="247" t="str">
        <f>IF($B221&lt;=入力シート!$F$22,""&amp;中間シート!X241,"")</f>
        <v/>
      </c>
      <c r="Y221" s="247"/>
      <c r="Z221" s="247"/>
      <c r="AA221" s="247"/>
      <c r="AB221" s="247"/>
      <c r="AC221" s="247"/>
      <c r="AD221" s="247"/>
      <c r="AE221" s="247"/>
      <c r="AF221" s="247"/>
      <c r="AG221" s="247"/>
      <c r="AH221" s="247"/>
      <c r="AI221" s="247"/>
      <c r="AJ221" s="247"/>
      <c r="AK221" s="247"/>
      <c r="AL221" s="247"/>
      <c r="AM221" s="247"/>
      <c r="AN221" s="247"/>
      <c r="AO221" s="247"/>
      <c r="AQ221" s="177">
        <f>IF(J221&lt;&gt;"",1,0)</f>
        <v>0</v>
      </c>
      <c r="AR221" s="148">
        <f>IF(H221&lt;&gt;"",1,0)</f>
        <v>0</v>
      </c>
      <c r="AS221" s="148"/>
    </row>
    <row r="222" spans="2:45" ht="5.0999999999999996" customHeight="1" thickBot="1" x14ac:dyDescent="0.25">
      <c r="C222" s="170"/>
      <c r="D222" s="170"/>
      <c r="E222" s="174"/>
      <c r="F222" s="175"/>
      <c r="G222" s="174"/>
      <c r="H222" s="174"/>
      <c r="I222" s="173"/>
      <c r="J222" s="175"/>
      <c r="K222" s="175"/>
      <c r="L222" s="175"/>
      <c r="M222" s="175"/>
      <c r="N222" s="175"/>
      <c r="O222" s="175"/>
      <c r="P222" s="175"/>
      <c r="Q222" s="175"/>
      <c r="R222" s="174"/>
      <c r="S222" s="174"/>
      <c r="T222" s="174"/>
      <c r="U222" s="174"/>
      <c r="V222" s="174"/>
      <c r="W222" s="170"/>
      <c r="X222" s="178" t="s">
        <v>79</v>
      </c>
      <c r="Y222" s="178"/>
      <c r="Z222" s="178"/>
      <c r="AA222" s="178"/>
      <c r="AB222" s="178"/>
      <c r="AC222" s="178"/>
      <c r="AD222" s="178"/>
      <c r="AE222" s="178"/>
      <c r="AF222" s="178"/>
      <c r="AG222" s="178"/>
      <c r="AH222" s="178"/>
      <c r="AI222" s="178"/>
      <c r="AJ222" s="178"/>
      <c r="AK222" s="178"/>
      <c r="AL222" s="178"/>
      <c r="AM222" s="178"/>
      <c r="AN222" s="178"/>
      <c r="AO222" s="178"/>
      <c r="AP222" s="150"/>
      <c r="AQ222" s="148"/>
      <c r="AR222" s="148"/>
      <c r="AS222" s="148"/>
    </row>
    <row r="223" spans="2:45" ht="18" customHeight="1" thickBot="1" x14ac:dyDescent="0.25">
      <c r="B223" s="145">
        <v>19</v>
      </c>
      <c r="C223" s="170"/>
      <c r="D223" s="170"/>
      <c r="E223" s="172" t="s">
        <v>507</v>
      </c>
      <c r="F223" s="100"/>
      <c r="G223" s="174"/>
      <c r="H223" s="174"/>
      <c r="I223" s="173"/>
      <c r="J223" s="218" t="str">
        <f>IFERROR(VLOOKUP($F223,補助対象研修一覧!$A$2:$K$224,2,FALSE),"")</f>
        <v/>
      </c>
      <c r="K223" s="219"/>
      <c r="L223" s="219"/>
      <c r="M223" s="219"/>
      <c r="N223" s="219"/>
      <c r="O223" s="219"/>
      <c r="P223" s="220"/>
      <c r="Q223" s="175"/>
      <c r="R223" s="174"/>
      <c r="S223" s="174"/>
      <c r="T223" s="174"/>
      <c r="U223" s="174"/>
      <c r="V223" s="174"/>
      <c r="W223" s="170"/>
      <c r="X223" s="247" t="str">
        <f>IF($B223&lt;=入力シート!$F$22,""&amp;中間シート!X242,"")</f>
        <v/>
      </c>
      <c r="Y223" s="247"/>
      <c r="Z223" s="247"/>
      <c r="AA223" s="247"/>
      <c r="AB223" s="247"/>
      <c r="AC223" s="247"/>
      <c r="AD223" s="247"/>
      <c r="AE223" s="247"/>
      <c r="AF223" s="247"/>
      <c r="AG223" s="247"/>
      <c r="AH223" s="247"/>
      <c r="AI223" s="247"/>
      <c r="AJ223" s="247"/>
      <c r="AK223" s="247"/>
      <c r="AL223" s="247"/>
      <c r="AM223" s="247"/>
      <c r="AN223" s="247"/>
      <c r="AO223" s="247"/>
      <c r="AP223" s="150"/>
      <c r="AQ223" s="177">
        <f>IF(J223&lt;&gt;"",1,0)</f>
        <v>0</v>
      </c>
      <c r="AR223" s="148">
        <f>IF(H223&lt;&gt;"",1,0)</f>
        <v>0</v>
      </c>
      <c r="AS223" s="148"/>
    </row>
    <row r="224" spans="2:45" ht="5.0999999999999996" customHeight="1" thickBot="1" x14ac:dyDescent="0.25">
      <c r="C224" s="170"/>
      <c r="D224" s="170"/>
      <c r="E224" s="172"/>
      <c r="F224" s="179"/>
      <c r="G224" s="174"/>
      <c r="H224" s="174"/>
      <c r="I224" s="173"/>
      <c r="J224" s="179"/>
      <c r="K224" s="179"/>
      <c r="L224" s="179"/>
      <c r="M224" s="175"/>
      <c r="N224" s="179"/>
      <c r="O224" s="179"/>
      <c r="P224" s="179"/>
      <c r="Q224" s="175"/>
      <c r="R224" s="174"/>
      <c r="S224" s="174"/>
      <c r="T224" s="174"/>
      <c r="U224" s="174"/>
      <c r="V224" s="174"/>
      <c r="W224" s="170"/>
      <c r="X224" s="178" t="s">
        <v>79</v>
      </c>
      <c r="Y224" s="178"/>
      <c r="Z224" s="178"/>
      <c r="AA224" s="178"/>
      <c r="AB224" s="178"/>
      <c r="AC224" s="178"/>
      <c r="AD224" s="178"/>
      <c r="AE224" s="178"/>
      <c r="AF224" s="178"/>
      <c r="AG224" s="178"/>
      <c r="AH224" s="178"/>
      <c r="AI224" s="178"/>
      <c r="AJ224" s="178"/>
      <c r="AK224" s="178"/>
      <c r="AL224" s="178"/>
      <c r="AM224" s="178"/>
      <c r="AN224" s="178"/>
      <c r="AO224" s="178"/>
      <c r="AP224" s="150"/>
      <c r="AQ224" s="148"/>
      <c r="AR224" s="148"/>
      <c r="AS224" s="148"/>
    </row>
    <row r="225" spans="2:45" ht="18" customHeight="1" thickBot="1" x14ac:dyDescent="0.25">
      <c r="B225" s="145">
        <v>19</v>
      </c>
      <c r="C225" s="170"/>
      <c r="D225" s="170"/>
      <c r="E225" s="172" t="s">
        <v>508</v>
      </c>
      <c r="F225" s="100"/>
      <c r="G225" s="174"/>
      <c r="H225" s="174"/>
      <c r="I225" s="173"/>
      <c r="J225" s="218" t="str">
        <f>IFERROR(VLOOKUP($F225,補助対象研修一覧!$A$2:$K$224,2,FALSE),"")</f>
        <v/>
      </c>
      <c r="K225" s="219"/>
      <c r="L225" s="219"/>
      <c r="M225" s="219"/>
      <c r="N225" s="219"/>
      <c r="O225" s="219"/>
      <c r="P225" s="220"/>
      <c r="Q225" s="175"/>
      <c r="R225" s="174"/>
      <c r="S225" s="174"/>
      <c r="T225" s="174"/>
      <c r="U225" s="174"/>
      <c r="V225" s="174"/>
      <c r="W225" s="170"/>
      <c r="X225" s="247" t="str">
        <f>IF($B225&lt;=入力シート!$F$22,""&amp;中間シート!X243,"")</f>
        <v/>
      </c>
      <c r="Y225" s="247"/>
      <c r="Z225" s="247"/>
      <c r="AA225" s="247"/>
      <c r="AB225" s="247"/>
      <c r="AC225" s="247"/>
      <c r="AD225" s="247"/>
      <c r="AE225" s="247"/>
      <c r="AF225" s="247"/>
      <c r="AG225" s="247"/>
      <c r="AH225" s="247"/>
      <c r="AI225" s="247"/>
      <c r="AJ225" s="247"/>
      <c r="AK225" s="247"/>
      <c r="AL225" s="247"/>
      <c r="AM225" s="247"/>
      <c r="AN225" s="247"/>
      <c r="AO225" s="247"/>
      <c r="AP225" s="150"/>
      <c r="AQ225" s="177">
        <f>IF(J225&lt;&gt;"",1,0)</f>
        <v>0</v>
      </c>
      <c r="AR225" s="148">
        <f>IF(H225&lt;&gt;"",1,0)</f>
        <v>0</v>
      </c>
      <c r="AS225" s="148"/>
    </row>
    <row r="226" spans="2:45" x14ac:dyDescent="0.2">
      <c r="C226" s="170"/>
      <c r="D226" s="170"/>
      <c r="E226" s="174"/>
      <c r="F226" s="179"/>
      <c r="G226" s="174"/>
      <c r="H226" s="174"/>
      <c r="I226" s="180"/>
      <c r="J226" s="175"/>
      <c r="K226" s="175"/>
      <c r="L226" s="175"/>
      <c r="M226" s="175"/>
      <c r="N226" s="175"/>
      <c r="O226" s="175"/>
      <c r="P226" s="175"/>
      <c r="Q226" s="175"/>
      <c r="R226" s="174"/>
      <c r="S226" s="174"/>
      <c r="T226" s="174"/>
      <c r="U226" s="174"/>
      <c r="V226" s="174"/>
      <c r="W226" s="170"/>
      <c r="X226" s="178" t="s">
        <v>79</v>
      </c>
      <c r="Y226" s="178"/>
      <c r="Z226" s="178"/>
      <c r="AA226" s="178"/>
      <c r="AB226" s="178"/>
      <c r="AC226" s="178"/>
      <c r="AD226" s="178"/>
      <c r="AE226" s="178"/>
      <c r="AF226" s="178"/>
      <c r="AG226" s="178"/>
      <c r="AH226" s="178"/>
      <c r="AI226" s="178"/>
      <c r="AJ226" s="178"/>
      <c r="AK226" s="178"/>
      <c r="AL226" s="178"/>
      <c r="AM226" s="178"/>
      <c r="AN226" s="178"/>
      <c r="AO226" s="178"/>
      <c r="AQ226" s="148"/>
      <c r="AR226" s="148"/>
      <c r="AS226" s="148"/>
    </row>
    <row r="227" spans="2:45" ht="15.6" thickBot="1" x14ac:dyDescent="0.25">
      <c r="C227" s="148"/>
      <c r="D227" s="148"/>
      <c r="E227" s="181"/>
      <c r="F227" s="182"/>
      <c r="G227" s="181"/>
      <c r="H227" s="181"/>
      <c r="I227" s="183"/>
      <c r="J227" s="177"/>
      <c r="K227" s="177"/>
      <c r="L227" s="177"/>
      <c r="M227" s="177"/>
      <c r="N227" s="177"/>
      <c r="O227" s="177"/>
      <c r="P227" s="177"/>
      <c r="Q227" s="181"/>
      <c r="R227" s="181"/>
      <c r="S227" s="181"/>
      <c r="T227" s="181"/>
      <c r="U227" s="181"/>
      <c r="V227" s="181"/>
      <c r="W227" s="148"/>
      <c r="X227" s="178" t="s">
        <v>79</v>
      </c>
      <c r="Y227" s="178"/>
      <c r="Z227" s="178"/>
      <c r="AA227" s="178"/>
      <c r="AB227" s="178"/>
      <c r="AC227" s="178"/>
      <c r="AD227" s="178"/>
      <c r="AE227" s="178"/>
      <c r="AF227" s="178"/>
      <c r="AG227" s="178"/>
      <c r="AH227" s="178"/>
      <c r="AI227" s="178"/>
      <c r="AJ227" s="178"/>
      <c r="AK227" s="178"/>
      <c r="AL227" s="178"/>
      <c r="AM227" s="178"/>
      <c r="AN227" s="178"/>
      <c r="AO227" s="178"/>
      <c r="AQ227" s="148"/>
      <c r="AR227" s="148"/>
      <c r="AS227" s="148"/>
    </row>
    <row r="228" spans="2:45" ht="18" customHeight="1" thickBot="1" x14ac:dyDescent="0.25">
      <c r="B228" s="145">
        <v>20</v>
      </c>
      <c r="C228" s="148"/>
      <c r="D228" s="184" t="s">
        <v>66</v>
      </c>
      <c r="E228" s="185" t="s">
        <v>506</v>
      </c>
      <c r="F228" s="100"/>
      <c r="G228" s="181"/>
      <c r="H228" s="181"/>
      <c r="I228" s="186"/>
      <c r="J228" s="218" t="str">
        <f>IFERROR(VLOOKUP($F228,補助対象研修一覧!$A$2:$K$224,2,FALSE),"")</f>
        <v/>
      </c>
      <c r="K228" s="219"/>
      <c r="L228" s="219"/>
      <c r="M228" s="219"/>
      <c r="N228" s="219"/>
      <c r="O228" s="219"/>
      <c r="P228" s="220"/>
      <c r="Q228" s="181"/>
      <c r="R228" s="181"/>
      <c r="S228" s="181"/>
      <c r="T228" s="181"/>
      <c r="U228" s="181"/>
      <c r="V228" s="181"/>
      <c r="W228" s="148"/>
      <c r="X228" s="247" t="str">
        <f>IF($B228&lt;=入力シート!$F$22,""&amp;中間シート!X244,"")</f>
        <v/>
      </c>
      <c r="Y228" s="247"/>
      <c r="Z228" s="247"/>
      <c r="AA228" s="247"/>
      <c r="AB228" s="247"/>
      <c r="AC228" s="247"/>
      <c r="AD228" s="247"/>
      <c r="AE228" s="247"/>
      <c r="AF228" s="247"/>
      <c r="AG228" s="247"/>
      <c r="AH228" s="247"/>
      <c r="AI228" s="247"/>
      <c r="AJ228" s="247"/>
      <c r="AK228" s="247"/>
      <c r="AL228" s="247"/>
      <c r="AM228" s="247"/>
      <c r="AN228" s="247"/>
      <c r="AO228" s="247"/>
      <c r="AQ228" s="177">
        <f>IF(J228&lt;&gt;"",1,0)</f>
        <v>0</v>
      </c>
      <c r="AR228" s="148">
        <f>IF(H228&lt;&gt;"",1,0)</f>
        <v>0</v>
      </c>
      <c r="AS228" s="148"/>
    </row>
    <row r="229" spans="2:45" ht="5.0999999999999996" customHeight="1" thickBot="1" x14ac:dyDescent="0.25">
      <c r="C229" s="148"/>
      <c r="D229" s="148"/>
      <c r="E229" s="181"/>
      <c r="F229" s="177"/>
      <c r="G229" s="181"/>
      <c r="H229" s="181"/>
      <c r="I229" s="186"/>
      <c r="J229" s="177"/>
      <c r="K229" s="177"/>
      <c r="L229" s="177"/>
      <c r="M229" s="177"/>
      <c r="N229" s="177"/>
      <c r="O229" s="177"/>
      <c r="P229" s="177"/>
      <c r="Q229" s="181"/>
      <c r="R229" s="181"/>
      <c r="S229" s="181"/>
      <c r="T229" s="181"/>
      <c r="U229" s="181"/>
      <c r="V229" s="181"/>
      <c r="W229" s="148"/>
      <c r="X229" s="178" t="s">
        <v>79</v>
      </c>
      <c r="Y229" s="178"/>
      <c r="Z229" s="178"/>
      <c r="AA229" s="178"/>
      <c r="AB229" s="178"/>
      <c r="AC229" s="178"/>
      <c r="AD229" s="178"/>
      <c r="AE229" s="178"/>
      <c r="AF229" s="178"/>
      <c r="AG229" s="178"/>
      <c r="AH229" s="178"/>
      <c r="AI229" s="178"/>
      <c r="AJ229" s="178"/>
      <c r="AK229" s="178"/>
      <c r="AL229" s="178"/>
      <c r="AM229" s="178"/>
      <c r="AN229" s="178"/>
      <c r="AO229" s="178"/>
      <c r="AP229" s="150"/>
      <c r="AQ229" s="148"/>
      <c r="AR229" s="148"/>
      <c r="AS229" s="148"/>
    </row>
    <row r="230" spans="2:45" ht="18" customHeight="1" thickBot="1" x14ac:dyDescent="0.25">
      <c r="B230" s="145">
        <v>20</v>
      </c>
      <c r="C230" s="148"/>
      <c r="D230" s="148"/>
      <c r="E230" s="185" t="s">
        <v>507</v>
      </c>
      <c r="F230" s="100"/>
      <c r="G230" s="181"/>
      <c r="H230" s="181"/>
      <c r="I230" s="186"/>
      <c r="J230" s="218" t="str">
        <f>IFERROR(VLOOKUP($F230,補助対象研修一覧!$A$2:$K$224,2,FALSE),"")</f>
        <v/>
      </c>
      <c r="K230" s="219"/>
      <c r="L230" s="219"/>
      <c r="M230" s="219"/>
      <c r="N230" s="219"/>
      <c r="O230" s="219"/>
      <c r="P230" s="220"/>
      <c r="Q230" s="181"/>
      <c r="R230" s="181"/>
      <c r="S230" s="181"/>
      <c r="T230" s="181"/>
      <c r="U230" s="181"/>
      <c r="V230" s="181"/>
      <c r="W230" s="148"/>
      <c r="X230" s="247" t="str">
        <f>IF($B230&lt;=入力シート!$F$22,""&amp;中間シート!X245,"")</f>
        <v/>
      </c>
      <c r="Y230" s="247"/>
      <c r="Z230" s="247"/>
      <c r="AA230" s="247"/>
      <c r="AB230" s="247"/>
      <c r="AC230" s="247"/>
      <c r="AD230" s="247"/>
      <c r="AE230" s="247"/>
      <c r="AF230" s="247"/>
      <c r="AG230" s="247"/>
      <c r="AH230" s="247"/>
      <c r="AI230" s="247"/>
      <c r="AJ230" s="247"/>
      <c r="AK230" s="247"/>
      <c r="AL230" s="247"/>
      <c r="AM230" s="247"/>
      <c r="AN230" s="247"/>
      <c r="AO230" s="247"/>
      <c r="AP230" s="150"/>
      <c r="AQ230" s="177">
        <f>IF(J230&lt;&gt;"",1,0)</f>
        <v>0</v>
      </c>
      <c r="AR230" s="148">
        <f>IF(H230&lt;&gt;"",1,0)</f>
        <v>0</v>
      </c>
      <c r="AS230" s="148"/>
    </row>
    <row r="231" spans="2:45" ht="5.0999999999999996" customHeight="1" thickBot="1" x14ac:dyDescent="0.25">
      <c r="C231" s="148"/>
      <c r="D231" s="148"/>
      <c r="E231" s="185"/>
      <c r="F231" s="182"/>
      <c r="G231" s="181"/>
      <c r="H231" s="181"/>
      <c r="I231" s="186"/>
      <c r="J231" s="182"/>
      <c r="K231" s="182"/>
      <c r="L231" s="182"/>
      <c r="M231" s="177"/>
      <c r="N231" s="182"/>
      <c r="O231" s="182"/>
      <c r="P231" s="182"/>
      <c r="Q231" s="181"/>
      <c r="R231" s="181"/>
      <c r="S231" s="181"/>
      <c r="T231" s="181"/>
      <c r="U231" s="181"/>
      <c r="V231" s="181"/>
      <c r="W231" s="148"/>
      <c r="X231" s="178" t="s">
        <v>79</v>
      </c>
      <c r="Y231" s="178"/>
      <c r="Z231" s="178"/>
      <c r="AA231" s="178"/>
      <c r="AB231" s="178"/>
      <c r="AC231" s="178"/>
      <c r="AD231" s="178"/>
      <c r="AE231" s="178"/>
      <c r="AF231" s="178"/>
      <c r="AG231" s="178"/>
      <c r="AH231" s="178"/>
      <c r="AI231" s="178"/>
      <c r="AJ231" s="178"/>
      <c r="AK231" s="178"/>
      <c r="AL231" s="178"/>
      <c r="AM231" s="178"/>
      <c r="AN231" s="178"/>
      <c r="AO231" s="178"/>
      <c r="AP231" s="150"/>
      <c r="AQ231" s="148"/>
      <c r="AR231" s="148"/>
      <c r="AS231" s="148"/>
    </row>
    <row r="232" spans="2:45" ht="18" customHeight="1" thickBot="1" x14ac:dyDescent="0.25">
      <c r="B232" s="145">
        <v>20</v>
      </c>
      <c r="C232" s="148"/>
      <c r="D232" s="148"/>
      <c r="E232" s="185" t="s">
        <v>508</v>
      </c>
      <c r="F232" s="100"/>
      <c r="G232" s="181"/>
      <c r="H232" s="181"/>
      <c r="I232" s="186"/>
      <c r="J232" s="218" t="str">
        <f>IFERROR(VLOOKUP($F232,補助対象研修一覧!$A$2:$K$224,2,FALSE),"")</f>
        <v/>
      </c>
      <c r="K232" s="219"/>
      <c r="L232" s="219"/>
      <c r="M232" s="219"/>
      <c r="N232" s="219"/>
      <c r="O232" s="219"/>
      <c r="P232" s="220"/>
      <c r="Q232" s="181"/>
      <c r="R232" s="181"/>
      <c r="S232" s="181"/>
      <c r="T232" s="181"/>
      <c r="U232" s="181"/>
      <c r="V232" s="181"/>
      <c r="W232" s="148"/>
      <c r="X232" s="247" t="str">
        <f>IF($B232&lt;=入力シート!$F$22,""&amp;中間シート!X246,"")</f>
        <v/>
      </c>
      <c r="Y232" s="247"/>
      <c r="Z232" s="247"/>
      <c r="AA232" s="247"/>
      <c r="AB232" s="247"/>
      <c r="AC232" s="247"/>
      <c r="AD232" s="247"/>
      <c r="AE232" s="247"/>
      <c r="AF232" s="247"/>
      <c r="AG232" s="247"/>
      <c r="AH232" s="247"/>
      <c r="AI232" s="247"/>
      <c r="AJ232" s="247"/>
      <c r="AK232" s="247"/>
      <c r="AL232" s="247"/>
      <c r="AM232" s="247"/>
      <c r="AN232" s="247"/>
      <c r="AO232" s="247"/>
      <c r="AP232" s="150"/>
      <c r="AQ232" s="177">
        <f>IF(J232&lt;&gt;"",1,0)</f>
        <v>0</v>
      </c>
      <c r="AR232" s="148">
        <f>IF(H232&lt;&gt;"",1,0)</f>
        <v>0</v>
      </c>
      <c r="AS232" s="148"/>
    </row>
    <row r="233" spans="2:45" x14ac:dyDescent="0.2">
      <c r="C233" s="148"/>
      <c r="D233" s="148"/>
      <c r="E233" s="181"/>
      <c r="F233" s="182"/>
      <c r="G233" s="181"/>
      <c r="H233" s="181"/>
      <c r="I233" s="183"/>
      <c r="J233" s="177"/>
      <c r="K233" s="177"/>
      <c r="L233" s="177"/>
      <c r="M233" s="177"/>
      <c r="N233" s="177"/>
      <c r="O233" s="177"/>
      <c r="P233" s="177"/>
      <c r="Q233" s="177"/>
      <c r="R233" s="177"/>
      <c r="S233" s="177"/>
      <c r="T233" s="177"/>
      <c r="U233" s="177"/>
      <c r="V233" s="177"/>
      <c r="W233" s="148"/>
      <c r="X233" s="178" t="s">
        <v>79</v>
      </c>
      <c r="Y233" s="178"/>
      <c r="Z233" s="178"/>
      <c r="AA233" s="178"/>
      <c r="AB233" s="178"/>
      <c r="AC233" s="178"/>
      <c r="AD233" s="178"/>
      <c r="AE233" s="178"/>
      <c r="AF233" s="178"/>
      <c r="AG233" s="178"/>
      <c r="AH233" s="178"/>
      <c r="AI233" s="178"/>
      <c r="AJ233" s="178"/>
      <c r="AK233" s="178"/>
      <c r="AL233" s="178"/>
      <c r="AM233" s="178"/>
      <c r="AN233" s="178"/>
      <c r="AO233" s="178"/>
      <c r="AQ233" s="148"/>
      <c r="AR233" s="148"/>
      <c r="AS233" s="148"/>
    </row>
    <row r="234" spans="2:45" ht="15.6" thickBot="1" x14ac:dyDescent="0.25">
      <c r="C234" s="170"/>
      <c r="D234" s="170"/>
      <c r="E234" s="174"/>
      <c r="F234" s="179"/>
      <c r="G234" s="174"/>
      <c r="H234" s="174"/>
      <c r="I234" s="180"/>
      <c r="J234" s="175"/>
      <c r="K234" s="175"/>
      <c r="L234" s="175"/>
      <c r="M234" s="175"/>
      <c r="N234" s="175"/>
      <c r="O234" s="175"/>
      <c r="P234" s="175"/>
      <c r="Q234" s="175"/>
      <c r="R234" s="174"/>
      <c r="S234" s="174"/>
      <c r="T234" s="174"/>
      <c r="U234" s="174"/>
      <c r="V234" s="174"/>
      <c r="W234" s="170"/>
      <c r="X234" s="178" t="s">
        <v>79</v>
      </c>
      <c r="Y234" s="178"/>
      <c r="Z234" s="178"/>
      <c r="AA234" s="178"/>
      <c r="AB234" s="178"/>
      <c r="AC234" s="178"/>
      <c r="AD234" s="178"/>
      <c r="AE234" s="178"/>
      <c r="AF234" s="178"/>
      <c r="AG234" s="178"/>
      <c r="AH234" s="178"/>
      <c r="AI234" s="178"/>
      <c r="AJ234" s="178"/>
      <c r="AK234" s="178"/>
      <c r="AL234" s="178"/>
      <c r="AM234" s="178"/>
      <c r="AN234" s="178"/>
      <c r="AO234" s="178"/>
      <c r="AQ234" s="148"/>
      <c r="AR234" s="148"/>
      <c r="AS234" s="148"/>
    </row>
    <row r="235" spans="2:45" ht="18" customHeight="1" thickBot="1" x14ac:dyDescent="0.25">
      <c r="B235" s="145">
        <v>21</v>
      </c>
      <c r="C235" s="170"/>
      <c r="D235" s="171" t="s">
        <v>67</v>
      </c>
      <c r="E235" s="172" t="s">
        <v>506</v>
      </c>
      <c r="F235" s="100"/>
      <c r="G235" s="170"/>
      <c r="H235" s="174"/>
      <c r="I235" s="173"/>
      <c r="J235" s="218" t="str">
        <f>IFERROR(VLOOKUP($F235,補助対象研修一覧!$A$2:$K$224,2,FALSE),"")</f>
        <v/>
      </c>
      <c r="K235" s="219"/>
      <c r="L235" s="219"/>
      <c r="M235" s="219"/>
      <c r="N235" s="219"/>
      <c r="O235" s="219"/>
      <c r="P235" s="220"/>
      <c r="Q235" s="175"/>
      <c r="R235" s="174"/>
      <c r="S235" s="174"/>
      <c r="T235" s="174"/>
      <c r="U235" s="174"/>
      <c r="V235" s="174"/>
      <c r="W235" s="170"/>
      <c r="X235" s="247" t="str">
        <f>IF($B235&lt;=入力シート!$F$22,""&amp;中間シート!X247,"")</f>
        <v/>
      </c>
      <c r="Y235" s="247"/>
      <c r="Z235" s="247"/>
      <c r="AA235" s="247"/>
      <c r="AB235" s="247"/>
      <c r="AC235" s="247"/>
      <c r="AD235" s="247"/>
      <c r="AE235" s="247"/>
      <c r="AF235" s="247"/>
      <c r="AG235" s="247"/>
      <c r="AH235" s="247"/>
      <c r="AI235" s="247"/>
      <c r="AJ235" s="247"/>
      <c r="AK235" s="247"/>
      <c r="AL235" s="247"/>
      <c r="AM235" s="247"/>
      <c r="AN235" s="247"/>
      <c r="AO235" s="247"/>
      <c r="AQ235" s="177">
        <f>IF(J235&lt;&gt;"",1,0)</f>
        <v>0</v>
      </c>
      <c r="AR235" s="148">
        <f>IF(H235&lt;&gt;"",1,0)</f>
        <v>0</v>
      </c>
      <c r="AS235" s="148"/>
    </row>
    <row r="236" spans="2:45" ht="5.0999999999999996" customHeight="1" thickBot="1" x14ac:dyDescent="0.25">
      <c r="C236" s="170"/>
      <c r="D236" s="170"/>
      <c r="E236" s="174"/>
      <c r="F236" s="175"/>
      <c r="G236" s="174"/>
      <c r="H236" s="174"/>
      <c r="I236" s="173"/>
      <c r="J236" s="175"/>
      <c r="K236" s="175"/>
      <c r="L236" s="175"/>
      <c r="M236" s="175"/>
      <c r="N236" s="175"/>
      <c r="O236" s="175"/>
      <c r="P236" s="175"/>
      <c r="Q236" s="175"/>
      <c r="R236" s="174"/>
      <c r="S236" s="174"/>
      <c r="T236" s="174"/>
      <c r="U236" s="174"/>
      <c r="V236" s="174"/>
      <c r="W236" s="170"/>
      <c r="X236" s="178" t="s">
        <v>79</v>
      </c>
      <c r="Y236" s="178"/>
      <c r="Z236" s="178"/>
      <c r="AA236" s="178"/>
      <c r="AB236" s="178"/>
      <c r="AC236" s="178"/>
      <c r="AD236" s="178"/>
      <c r="AE236" s="178"/>
      <c r="AF236" s="178"/>
      <c r="AG236" s="178"/>
      <c r="AH236" s="178"/>
      <c r="AI236" s="178"/>
      <c r="AJ236" s="178"/>
      <c r="AK236" s="178"/>
      <c r="AL236" s="178"/>
      <c r="AM236" s="178"/>
      <c r="AN236" s="178"/>
      <c r="AO236" s="178"/>
      <c r="AP236" s="150"/>
      <c r="AQ236" s="148"/>
      <c r="AR236" s="148"/>
      <c r="AS236" s="148"/>
    </row>
    <row r="237" spans="2:45" ht="18" customHeight="1" thickBot="1" x14ac:dyDescent="0.25">
      <c r="B237" s="145">
        <v>21</v>
      </c>
      <c r="C237" s="170"/>
      <c r="D237" s="170"/>
      <c r="E237" s="172" t="s">
        <v>507</v>
      </c>
      <c r="F237" s="100"/>
      <c r="G237" s="174"/>
      <c r="H237" s="174"/>
      <c r="I237" s="173"/>
      <c r="J237" s="218" t="str">
        <f>IFERROR(VLOOKUP($F237,補助対象研修一覧!$A$2:$K$224,2,FALSE),"")</f>
        <v/>
      </c>
      <c r="K237" s="219"/>
      <c r="L237" s="219"/>
      <c r="M237" s="219"/>
      <c r="N237" s="219"/>
      <c r="O237" s="219"/>
      <c r="P237" s="220"/>
      <c r="Q237" s="175"/>
      <c r="R237" s="174"/>
      <c r="S237" s="174"/>
      <c r="T237" s="174"/>
      <c r="U237" s="174"/>
      <c r="V237" s="174"/>
      <c r="W237" s="170"/>
      <c r="X237" s="247" t="str">
        <f>IF($B237&lt;=入力シート!$F$22,""&amp;中間シート!X248,"")</f>
        <v/>
      </c>
      <c r="Y237" s="247"/>
      <c r="Z237" s="247"/>
      <c r="AA237" s="247"/>
      <c r="AB237" s="247"/>
      <c r="AC237" s="247"/>
      <c r="AD237" s="247"/>
      <c r="AE237" s="247"/>
      <c r="AF237" s="247"/>
      <c r="AG237" s="247"/>
      <c r="AH237" s="247"/>
      <c r="AI237" s="247"/>
      <c r="AJ237" s="247"/>
      <c r="AK237" s="247"/>
      <c r="AL237" s="247"/>
      <c r="AM237" s="247"/>
      <c r="AN237" s="247"/>
      <c r="AO237" s="247"/>
      <c r="AP237" s="150"/>
      <c r="AQ237" s="177">
        <f>IF(J237&lt;&gt;"",1,0)</f>
        <v>0</v>
      </c>
      <c r="AR237" s="148">
        <f>IF(H237&lt;&gt;"",1,0)</f>
        <v>0</v>
      </c>
      <c r="AS237" s="148"/>
    </row>
    <row r="238" spans="2:45" ht="5.0999999999999996" customHeight="1" thickBot="1" x14ac:dyDescent="0.25">
      <c r="C238" s="170"/>
      <c r="D238" s="170"/>
      <c r="E238" s="172"/>
      <c r="F238" s="179"/>
      <c r="G238" s="174"/>
      <c r="H238" s="174"/>
      <c r="I238" s="173"/>
      <c r="J238" s="179"/>
      <c r="K238" s="179"/>
      <c r="L238" s="179"/>
      <c r="M238" s="175"/>
      <c r="N238" s="179"/>
      <c r="O238" s="179"/>
      <c r="P238" s="179"/>
      <c r="Q238" s="175"/>
      <c r="R238" s="174"/>
      <c r="S238" s="174"/>
      <c r="T238" s="174"/>
      <c r="U238" s="174"/>
      <c r="V238" s="174"/>
      <c r="W238" s="170"/>
      <c r="X238" s="178" t="s">
        <v>79</v>
      </c>
      <c r="Y238" s="178"/>
      <c r="Z238" s="178"/>
      <c r="AA238" s="178"/>
      <c r="AB238" s="178"/>
      <c r="AC238" s="178"/>
      <c r="AD238" s="178"/>
      <c r="AE238" s="178"/>
      <c r="AF238" s="178"/>
      <c r="AG238" s="178"/>
      <c r="AH238" s="178"/>
      <c r="AI238" s="178"/>
      <c r="AJ238" s="178"/>
      <c r="AK238" s="178"/>
      <c r="AL238" s="178"/>
      <c r="AM238" s="178"/>
      <c r="AN238" s="178"/>
      <c r="AO238" s="178"/>
      <c r="AP238" s="150"/>
      <c r="AQ238" s="148"/>
      <c r="AR238" s="148"/>
      <c r="AS238" s="148"/>
    </row>
    <row r="239" spans="2:45" ht="18" customHeight="1" thickBot="1" x14ac:dyDescent="0.25">
      <c r="B239" s="145">
        <v>21</v>
      </c>
      <c r="C239" s="170"/>
      <c r="D239" s="170"/>
      <c r="E239" s="172" t="s">
        <v>508</v>
      </c>
      <c r="F239" s="100"/>
      <c r="G239" s="174"/>
      <c r="H239" s="174"/>
      <c r="I239" s="173"/>
      <c r="J239" s="218" t="str">
        <f>IFERROR(VLOOKUP($F239,補助対象研修一覧!$A$2:$K$224,2,FALSE),"")</f>
        <v/>
      </c>
      <c r="K239" s="219"/>
      <c r="L239" s="219"/>
      <c r="M239" s="219"/>
      <c r="N239" s="219"/>
      <c r="O239" s="219"/>
      <c r="P239" s="220"/>
      <c r="Q239" s="175"/>
      <c r="R239" s="174"/>
      <c r="S239" s="174"/>
      <c r="T239" s="174"/>
      <c r="U239" s="174"/>
      <c r="V239" s="174"/>
      <c r="W239" s="170"/>
      <c r="X239" s="247" t="str">
        <f>IF($B239&lt;=入力シート!$F$22,""&amp;中間シート!X249,"")</f>
        <v/>
      </c>
      <c r="Y239" s="247"/>
      <c r="Z239" s="247"/>
      <c r="AA239" s="247"/>
      <c r="AB239" s="247"/>
      <c r="AC239" s="247"/>
      <c r="AD239" s="247"/>
      <c r="AE239" s="247"/>
      <c r="AF239" s="247"/>
      <c r="AG239" s="247"/>
      <c r="AH239" s="247"/>
      <c r="AI239" s="247"/>
      <c r="AJ239" s="247"/>
      <c r="AK239" s="247"/>
      <c r="AL239" s="247"/>
      <c r="AM239" s="247"/>
      <c r="AN239" s="247"/>
      <c r="AO239" s="247"/>
      <c r="AP239" s="150"/>
      <c r="AQ239" s="177">
        <f>IF(J239&lt;&gt;"",1,0)</f>
        <v>0</v>
      </c>
      <c r="AR239" s="148">
        <f>IF(H239&lt;&gt;"",1,0)</f>
        <v>0</v>
      </c>
      <c r="AS239" s="148"/>
    </row>
    <row r="240" spans="2:45" x14ac:dyDescent="0.2">
      <c r="C240" s="170"/>
      <c r="D240" s="170"/>
      <c r="E240" s="174"/>
      <c r="F240" s="179"/>
      <c r="G240" s="174"/>
      <c r="H240" s="174"/>
      <c r="I240" s="180"/>
      <c r="J240" s="175"/>
      <c r="K240" s="175"/>
      <c r="L240" s="175"/>
      <c r="M240" s="175"/>
      <c r="N240" s="175"/>
      <c r="O240" s="175"/>
      <c r="P240" s="175"/>
      <c r="Q240" s="175"/>
      <c r="R240" s="174"/>
      <c r="S240" s="174"/>
      <c r="T240" s="174"/>
      <c r="U240" s="174"/>
      <c r="V240" s="174"/>
      <c r="W240" s="170"/>
      <c r="X240" s="178" t="s">
        <v>79</v>
      </c>
      <c r="Y240" s="178"/>
      <c r="Z240" s="178"/>
      <c r="AA240" s="178"/>
      <c r="AB240" s="178"/>
      <c r="AC240" s="178"/>
      <c r="AD240" s="178"/>
      <c r="AE240" s="178"/>
      <c r="AF240" s="178"/>
      <c r="AG240" s="178"/>
      <c r="AH240" s="178"/>
      <c r="AI240" s="178"/>
      <c r="AJ240" s="178"/>
      <c r="AK240" s="178"/>
      <c r="AL240" s="178"/>
      <c r="AM240" s="178"/>
      <c r="AN240" s="178"/>
      <c r="AO240" s="178"/>
      <c r="AQ240" s="148"/>
      <c r="AR240" s="148"/>
      <c r="AS240" s="148"/>
    </row>
    <row r="241" spans="2:45" ht="15.6" thickBot="1" x14ac:dyDescent="0.25">
      <c r="C241" s="148"/>
      <c r="D241" s="148"/>
      <c r="E241" s="181"/>
      <c r="F241" s="182"/>
      <c r="G241" s="181"/>
      <c r="H241" s="181"/>
      <c r="I241" s="183"/>
      <c r="J241" s="177"/>
      <c r="K241" s="177"/>
      <c r="L241" s="177"/>
      <c r="M241" s="177"/>
      <c r="N241" s="177"/>
      <c r="O241" s="177"/>
      <c r="P241" s="177"/>
      <c r="Q241" s="181"/>
      <c r="R241" s="181"/>
      <c r="S241" s="181"/>
      <c r="T241" s="181"/>
      <c r="U241" s="181"/>
      <c r="V241" s="181"/>
      <c r="W241" s="148"/>
      <c r="X241" s="178" t="s">
        <v>79</v>
      </c>
      <c r="Y241" s="178"/>
      <c r="Z241" s="178"/>
      <c r="AA241" s="178"/>
      <c r="AB241" s="178"/>
      <c r="AC241" s="178"/>
      <c r="AD241" s="178"/>
      <c r="AE241" s="178"/>
      <c r="AF241" s="178"/>
      <c r="AG241" s="178"/>
      <c r="AH241" s="178"/>
      <c r="AI241" s="178"/>
      <c r="AJ241" s="178"/>
      <c r="AK241" s="178"/>
      <c r="AL241" s="178"/>
      <c r="AM241" s="178"/>
      <c r="AN241" s="178"/>
      <c r="AO241" s="178"/>
      <c r="AQ241" s="148"/>
      <c r="AR241" s="148"/>
      <c r="AS241" s="148"/>
    </row>
    <row r="242" spans="2:45" ht="18" customHeight="1" thickBot="1" x14ac:dyDescent="0.25">
      <c r="B242" s="145">
        <v>22</v>
      </c>
      <c r="C242" s="148"/>
      <c r="D242" s="184" t="s">
        <v>68</v>
      </c>
      <c r="E242" s="185" t="s">
        <v>506</v>
      </c>
      <c r="F242" s="100"/>
      <c r="G242" s="181"/>
      <c r="H242" s="181"/>
      <c r="I242" s="186"/>
      <c r="J242" s="218" t="str">
        <f>IFERROR(VLOOKUP($F242,補助対象研修一覧!$A$2:$K$224,2,FALSE),"")</f>
        <v/>
      </c>
      <c r="K242" s="219"/>
      <c r="L242" s="219"/>
      <c r="M242" s="219"/>
      <c r="N242" s="219"/>
      <c r="O242" s="219"/>
      <c r="P242" s="220"/>
      <c r="Q242" s="181"/>
      <c r="R242" s="181"/>
      <c r="S242" s="181"/>
      <c r="T242" s="181"/>
      <c r="U242" s="181"/>
      <c r="V242" s="181"/>
      <c r="W242" s="148"/>
      <c r="X242" s="247" t="str">
        <f>IF($B242&lt;=入力シート!$F$22,""&amp;中間シート!X250,"")</f>
        <v/>
      </c>
      <c r="Y242" s="247"/>
      <c r="Z242" s="247"/>
      <c r="AA242" s="247"/>
      <c r="AB242" s="247"/>
      <c r="AC242" s="247"/>
      <c r="AD242" s="247"/>
      <c r="AE242" s="247"/>
      <c r="AF242" s="247"/>
      <c r="AG242" s="247"/>
      <c r="AH242" s="247"/>
      <c r="AI242" s="247"/>
      <c r="AJ242" s="247"/>
      <c r="AK242" s="247"/>
      <c r="AL242" s="247"/>
      <c r="AM242" s="247"/>
      <c r="AN242" s="247"/>
      <c r="AO242" s="247"/>
      <c r="AQ242" s="177">
        <f>IF(J242&lt;&gt;"",1,0)</f>
        <v>0</v>
      </c>
      <c r="AR242" s="148">
        <f>IF(H242&lt;&gt;"",1,0)</f>
        <v>0</v>
      </c>
      <c r="AS242" s="148"/>
    </row>
    <row r="243" spans="2:45" ht="5.0999999999999996" customHeight="1" thickBot="1" x14ac:dyDescent="0.25">
      <c r="C243" s="148"/>
      <c r="D243" s="148"/>
      <c r="E243" s="181"/>
      <c r="F243" s="177"/>
      <c r="G243" s="181"/>
      <c r="H243" s="181"/>
      <c r="I243" s="186"/>
      <c r="J243" s="177"/>
      <c r="K243" s="177"/>
      <c r="L243" s="177"/>
      <c r="M243" s="177"/>
      <c r="N243" s="177"/>
      <c r="O243" s="177"/>
      <c r="P243" s="177"/>
      <c r="Q243" s="181"/>
      <c r="R243" s="181"/>
      <c r="S243" s="181"/>
      <c r="T243" s="181"/>
      <c r="U243" s="181"/>
      <c r="V243" s="181"/>
      <c r="W243" s="148"/>
      <c r="X243" s="178" t="s">
        <v>79</v>
      </c>
      <c r="Y243" s="178"/>
      <c r="Z243" s="178"/>
      <c r="AA243" s="178"/>
      <c r="AB243" s="178"/>
      <c r="AC243" s="178"/>
      <c r="AD243" s="178"/>
      <c r="AE243" s="178"/>
      <c r="AF243" s="178"/>
      <c r="AG243" s="178"/>
      <c r="AH243" s="178"/>
      <c r="AI243" s="178"/>
      <c r="AJ243" s="178"/>
      <c r="AK243" s="178"/>
      <c r="AL243" s="178"/>
      <c r="AM243" s="178"/>
      <c r="AN243" s="178"/>
      <c r="AO243" s="178"/>
      <c r="AP243" s="150"/>
      <c r="AQ243" s="148"/>
      <c r="AR243" s="148"/>
      <c r="AS243" s="148"/>
    </row>
    <row r="244" spans="2:45" ht="18" customHeight="1" thickBot="1" x14ac:dyDescent="0.25">
      <c r="B244" s="145">
        <v>22</v>
      </c>
      <c r="C244" s="148"/>
      <c r="D244" s="148"/>
      <c r="E244" s="185" t="s">
        <v>507</v>
      </c>
      <c r="F244" s="100"/>
      <c r="G244" s="181"/>
      <c r="H244" s="181"/>
      <c r="I244" s="186"/>
      <c r="J244" s="218" t="str">
        <f>IFERROR(VLOOKUP($F244,補助対象研修一覧!$A$2:$K$224,2,FALSE),"")</f>
        <v/>
      </c>
      <c r="K244" s="219"/>
      <c r="L244" s="219"/>
      <c r="M244" s="219"/>
      <c r="N244" s="219"/>
      <c r="O244" s="219"/>
      <c r="P244" s="220"/>
      <c r="Q244" s="181"/>
      <c r="R244" s="181"/>
      <c r="S244" s="181"/>
      <c r="T244" s="181"/>
      <c r="U244" s="181"/>
      <c r="V244" s="181"/>
      <c r="W244" s="148"/>
      <c r="X244" s="247" t="str">
        <f>IF($B244&lt;=入力シート!$F$22,""&amp;中間シート!X251,"")</f>
        <v/>
      </c>
      <c r="Y244" s="247"/>
      <c r="Z244" s="247"/>
      <c r="AA244" s="247"/>
      <c r="AB244" s="247"/>
      <c r="AC244" s="247"/>
      <c r="AD244" s="247"/>
      <c r="AE244" s="247"/>
      <c r="AF244" s="247"/>
      <c r="AG244" s="247"/>
      <c r="AH244" s="247"/>
      <c r="AI244" s="247"/>
      <c r="AJ244" s="247"/>
      <c r="AK244" s="247"/>
      <c r="AL244" s="247"/>
      <c r="AM244" s="247"/>
      <c r="AN244" s="247"/>
      <c r="AO244" s="247"/>
      <c r="AP244" s="150"/>
      <c r="AQ244" s="177">
        <f>IF(J244&lt;&gt;"",1,0)</f>
        <v>0</v>
      </c>
      <c r="AR244" s="148">
        <f>IF(H244&lt;&gt;"",1,0)</f>
        <v>0</v>
      </c>
      <c r="AS244" s="148"/>
    </row>
    <row r="245" spans="2:45" ht="5.0999999999999996" customHeight="1" thickBot="1" x14ac:dyDescent="0.25">
      <c r="C245" s="148"/>
      <c r="D245" s="148"/>
      <c r="E245" s="185"/>
      <c r="F245" s="182"/>
      <c r="G245" s="181"/>
      <c r="H245" s="181"/>
      <c r="I245" s="186"/>
      <c r="J245" s="182"/>
      <c r="K245" s="182"/>
      <c r="L245" s="182"/>
      <c r="M245" s="177"/>
      <c r="N245" s="182"/>
      <c r="O245" s="182"/>
      <c r="P245" s="182"/>
      <c r="Q245" s="181"/>
      <c r="R245" s="181"/>
      <c r="S245" s="181"/>
      <c r="T245" s="181"/>
      <c r="U245" s="181"/>
      <c r="V245" s="181"/>
      <c r="W245" s="148"/>
      <c r="X245" s="178" t="s">
        <v>79</v>
      </c>
      <c r="Y245" s="178"/>
      <c r="Z245" s="178"/>
      <c r="AA245" s="178"/>
      <c r="AB245" s="178"/>
      <c r="AC245" s="178"/>
      <c r="AD245" s="178"/>
      <c r="AE245" s="178"/>
      <c r="AF245" s="178"/>
      <c r="AG245" s="178"/>
      <c r="AH245" s="178"/>
      <c r="AI245" s="178"/>
      <c r="AJ245" s="178"/>
      <c r="AK245" s="178"/>
      <c r="AL245" s="178"/>
      <c r="AM245" s="178"/>
      <c r="AN245" s="178"/>
      <c r="AO245" s="178"/>
      <c r="AP245" s="150"/>
      <c r="AQ245" s="148"/>
      <c r="AR245" s="148"/>
      <c r="AS245" s="148"/>
    </row>
    <row r="246" spans="2:45" ht="18" customHeight="1" thickBot="1" x14ac:dyDescent="0.25">
      <c r="B246" s="145">
        <v>22</v>
      </c>
      <c r="C246" s="148"/>
      <c r="D246" s="148"/>
      <c r="E246" s="185" t="s">
        <v>508</v>
      </c>
      <c r="F246" s="100"/>
      <c r="G246" s="181"/>
      <c r="H246" s="181"/>
      <c r="I246" s="186"/>
      <c r="J246" s="218" t="str">
        <f>IFERROR(VLOOKUP($F246,補助対象研修一覧!$A$2:$K$224,2,FALSE),"")</f>
        <v/>
      </c>
      <c r="K246" s="219"/>
      <c r="L246" s="219"/>
      <c r="M246" s="219"/>
      <c r="N246" s="219"/>
      <c r="O246" s="219"/>
      <c r="P246" s="220"/>
      <c r="Q246" s="181"/>
      <c r="R246" s="181"/>
      <c r="S246" s="181"/>
      <c r="T246" s="181"/>
      <c r="U246" s="181"/>
      <c r="V246" s="181"/>
      <c r="W246" s="148"/>
      <c r="X246" s="247" t="str">
        <f>IF($B246&lt;=入力シート!$F$22,""&amp;中間シート!X252,"")</f>
        <v/>
      </c>
      <c r="Y246" s="247"/>
      <c r="Z246" s="247"/>
      <c r="AA246" s="247"/>
      <c r="AB246" s="247"/>
      <c r="AC246" s="247"/>
      <c r="AD246" s="247"/>
      <c r="AE246" s="247"/>
      <c r="AF246" s="247"/>
      <c r="AG246" s="247"/>
      <c r="AH246" s="247"/>
      <c r="AI246" s="247"/>
      <c r="AJ246" s="247"/>
      <c r="AK246" s="247"/>
      <c r="AL246" s="247"/>
      <c r="AM246" s="247"/>
      <c r="AN246" s="247"/>
      <c r="AO246" s="247"/>
      <c r="AP246" s="150"/>
      <c r="AQ246" s="177">
        <f>IF(J246&lt;&gt;"",1,0)</f>
        <v>0</v>
      </c>
      <c r="AR246" s="148">
        <f>IF(H246&lt;&gt;"",1,0)</f>
        <v>0</v>
      </c>
      <c r="AS246" s="148"/>
    </row>
    <row r="247" spans="2:45" x14ac:dyDescent="0.2">
      <c r="C247" s="148"/>
      <c r="D247" s="148"/>
      <c r="E247" s="181"/>
      <c r="F247" s="182"/>
      <c r="G247" s="181"/>
      <c r="H247" s="181"/>
      <c r="I247" s="183"/>
      <c r="J247" s="177"/>
      <c r="K247" s="177"/>
      <c r="L247" s="177"/>
      <c r="M247" s="177"/>
      <c r="N247" s="177"/>
      <c r="O247" s="177"/>
      <c r="P247" s="177"/>
      <c r="Q247" s="181"/>
      <c r="R247" s="181"/>
      <c r="S247" s="181"/>
      <c r="T247" s="181"/>
      <c r="U247" s="181"/>
      <c r="V247" s="181"/>
      <c r="W247" s="148"/>
      <c r="X247" s="178" t="s">
        <v>79</v>
      </c>
      <c r="Y247" s="178"/>
      <c r="Z247" s="178"/>
      <c r="AA247" s="178"/>
      <c r="AB247" s="178"/>
      <c r="AC247" s="178"/>
      <c r="AD247" s="178"/>
      <c r="AE247" s="178"/>
      <c r="AF247" s="178"/>
      <c r="AG247" s="178"/>
      <c r="AH247" s="178"/>
      <c r="AI247" s="178"/>
      <c r="AJ247" s="178"/>
      <c r="AK247" s="178"/>
      <c r="AL247" s="178"/>
      <c r="AM247" s="178"/>
      <c r="AN247" s="178"/>
      <c r="AO247" s="178"/>
      <c r="AQ247" s="148"/>
      <c r="AR247" s="148"/>
      <c r="AS247" s="148"/>
    </row>
    <row r="248" spans="2:45" ht="15.6" thickBot="1" x14ac:dyDescent="0.25">
      <c r="C248" s="170"/>
      <c r="D248" s="170"/>
      <c r="E248" s="174"/>
      <c r="F248" s="179"/>
      <c r="G248" s="174"/>
      <c r="H248" s="174"/>
      <c r="I248" s="180"/>
      <c r="J248" s="175"/>
      <c r="K248" s="175"/>
      <c r="L248" s="175"/>
      <c r="M248" s="175"/>
      <c r="N248" s="175"/>
      <c r="O248" s="175"/>
      <c r="P248" s="175"/>
      <c r="Q248" s="174"/>
      <c r="R248" s="174"/>
      <c r="S248" s="174"/>
      <c r="T248" s="174"/>
      <c r="U248" s="174"/>
      <c r="V248" s="174"/>
      <c r="W248" s="170"/>
      <c r="X248" s="178" t="s">
        <v>79</v>
      </c>
      <c r="Y248" s="178"/>
      <c r="Z248" s="178"/>
      <c r="AA248" s="178"/>
      <c r="AB248" s="178"/>
      <c r="AC248" s="178"/>
      <c r="AD248" s="178"/>
      <c r="AE248" s="178"/>
      <c r="AF248" s="178"/>
      <c r="AG248" s="178"/>
      <c r="AH248" s="178"/>
      <c r="AI248" s="178"/>
      <c r="AJ248" s="178"/>
      <c r="AK248" s="178"/>
      <c r="AL248" s="178"/>
      <c r="AM248" s="178"/>
      <c r="AN248" s="178"/>
      <c r="AO248" s="178"/>
      <c r="AQ248" s="148"/>
      <c r="AR248" s="148"/>
      <c r="AS248" s="148"/>
    </row>
    <row r="249" spans="2:45" ht="18" customHeight="1" thickBot="1" x14ac:dyDescent="0.25">
      <c r="B249" s="145">
        <v>23</v>
      </c>
      <c r="C249" s="170"/>
      <c r="D249" s="171" t="s">
        <v>69</v>
      </c>
      <c r="E249" s="172" t="s">
        <v>506</v>
      </c>
      <c r="F249" s="100"/>
      <c r="G249" s="170"/>
      <c r="H249" s="174"/>
      <c r="I249" s="173"/>
      <c r="J249" s="218" t="str">
        <f>IFERROR(VLOOKUP($F249,補助対象研修一覧!$A$2:$K$224,2,FALSE),"")</f>
        <v/>
      </c>
      <c r="K249" s="219"/>
      <c r="L249" s="219"/>
      <c r="M249" s="219"/>
      <c r="N249" s="219"/>
      <c r="O249" s="219"/>
      <c r="P249" s="220"/>
      <c r="Q249" s="174"/>
      <c r="R249" s="174"/>
      <c r="S249" s="174"/>
      <c r="T249" s="174"/>
      <c r="U249" s="174"/>
      <c r="V249" s="174"/>
      <c r="W249" s="170"/>
      <c r="X249" s="247" t="str">
        <f>IF($B249&lt;=入力シート!$F$22,""&amp;中間シート!X253,"")</f>
        <v/>
      </c>
      <c r="Y249" s="247"/>
      <c r="Z249" s="247"/>
      <c r="AA249" s="247"/>
      <c r="AB249" s="247"/>
      <c r="AC249" s="247"/>
      <c r="AD249" s="247"/>
      <c r="AE249" s="247"/>
      <c r="AF249" s="247"/>
      <c r="AG249" s="247"/>
      <c r="AH249" s="247"/>
      <c r="AI249" s="247"/>
      <c r="AJ249" s="247"/>
      <c r="AK249" s="247"/>
      <c r="AL249" s="247"/>
      <c r="AM249" s="247"/>
      <c r="AN249" s="247"/>
      <c r="AO249" s="247"/>
      <c r="AQ249" s="177">
        <f>IF(J249&lt;&gt;"",1,0)</f>
        <v>0</v>
      </c>
      <c r="AR249" s="148">
        <f>IF(H249&lt;&gt;"",1,0)</f>
        <v>0</v>
      </c>
      <c r="AS249" s="148"/>
    </row>
    <row r="250" spans="2:45" ht="5.0999999999999996" customHeight="1" thickBot="1" x14ac:dyDescent="0.25">
      <c r="C250" s="170"/>
      <c r="D250" s="170"/>
      <c r="E250" s="174"/>
      <c r="F250" s="175"/>
      <c r="G250" s="174"/>
      <c r="H250" s="174"/>
      <c r="I250" s="173"/>
      <c r="J250" s="175"/>
      <c r="K250" s="175"/>
      <c r="L250" s="175"/>
      <c r="M250" s="175"/>
      <c r="N250" s="175"/>
      <c r="O250" s="175"/>
      <c r="P250" s="175"/>
      <c r="Q250" s="174"/>
      <c r="R250" s="174"/>
      <c r="S250" s="174"/>
      <c r="T250" s="174"/>
      <c r="U250" s="174"/>
      <c r="V250" s="174"/>
      <c r="W250" s="170"/>
      <c r="X250" s="178" t="s">
        <v>79</v>
      </c>
      <c r="Y250" s="178"/>
      <c r="Z250" s="178"/>
      <c r="AA250" s="178"/>
      <c r="AB250" s="178"/>
      <c r="AC250" s="178"/>
      <c r="AD250" s="178"/>
      <c r="AE250" s="178"/>
      <c r="AF250" s="178"/>
      <c r="AG250" s="178"/>
      <c r="AH250" s="178"/>
      <c r="AI250" s="178"/>
      <c r="AJ250" s="178"/>
      <c r="AK250" s="178"/>
      <c r="AL250" s="178"/>
      <c r="AM250" s="178"/>
      <c r="AN250" s="178"/>
      <c r="AO250" s="178"/>
      <c r="AP250" s="150"/>
      <c r="AQ250" s="148"/>
      <c r="AR250" s="148"/>
      <c r="AS250" s="148"/>
    </row>
    <row r="251" spans="2:45" ht="18" customHeight="1" thickBot="1" x14ac:dyDescent="0.25">
      <c r="B251" s="145">
        <v>23</v>
      </c>
      <c r="C251" s="170"/>
      <c r="D251" s="170"/>
      <c r="E251" s="172" t="s">
        <v>507</v>
      </c>
      <c r="F251" s="100"/>
      <c r="G251" s="174"/>
      <c r="H251" s="174"/>
      <c r="I251" s="173"/>
      <c r="J251" s="218" t="str">
        <f>IFERROR(VLOOKUP($F251,補助対象研修一覧!$A$2:$K$224,2,FALSE),"")</f>
        <v/>
      </c>
      <c r="K251" s="219"/>
      <c r="L251" s="219"/>
      <c r="M251" s="219"/>
      <c r="N251" s="219"/>
      <c r="O251" s="219"/>
      <c r="P251" s="220"/>
      <c r="Q251" s="174"/>
      <c r="R251" s="174"/>
      <c r="S251" s="174"/>
      <c r="T251" s="174"/>
      <c r="U251" s="174"/>
      <c r="V251" s="174"/>
      <c r="W251" s="170"/>
      <c r="X251" s="247" t="str">
        <f>IF($B251&lt;=入力シート!$F$22,""&amp;中間シート!X254,"")</f>
        <v/>
      </c>
      <c r="Y251" s="247"/>
      <c r="Z251" s="247"/>
      <c r="AA251" s="247"/>
      <c r="AB251" s="247"/>
      <c r="AC251" s="247"/>
      <c r="AD251" s="247"/>
      <c r="AE251" s="247"/>
      <c r="AF251" s="247"/>
      <c r="AG251" s="247"/>
      <c r="AH251" s="247"/>
      <c r="AI251" s="247"/>
      <c r="AJ251" s="247"/>
      <c r="AK251" s="247"/>
      <c r="AL251" s="247"/>
      <c r="AM251" s="247"/>
      <c r="AN251" s="247"/>
      <c r="AO251" s="247"/>
      <c r="AP251" s="150"/>
      <c r="AQ251" s="177">
        <f>IF(J251&lt;&gt;"",1,0)</f>
        <v>0</v>
      </c>
      <c r="AR251" s="148">
        <f>IF(H251&lt;&gt;"",1,0)</f>
        <v>0</v>
      </c>
      <c r="AS251" s="148"/>
    </row>
    <row r="252" spans="2:45" ht="5.0999999999999996" customHeight="1" thickBot="1" x14ac:dyDescent="0.25">
      <c r="C252" s="170"/>
      <c r="D252" s="170"/>
      <c r="E252" s="172"/>
      <c r="F252" s="179"/>
      <c r="G252" s="174"/>
      <c r="H252" s="174"/>
      <c r="I252" s="173"/>
      <c r="J252" s="179"/>
      <c r="K252" s="179"/>
      <c r="L252" s="179"/>
      <c r="M252" s="175"/>
      <c r="N252" s="179"/>
      <c r="O252" s="179"/>
      <c r="P252" s="179"/>
      <c r="Q252" s="174"/>
      <c r="R252" s="174"/>
      <c r="S252" s="174"/>
      <c r="T252" s="174"/>
      <c r="U252" s="174"/>
      <c r="V252" s="174"/>
      <c r="W252" s="170"/>
      <c r="X252" s="178" t="s">
        <v>79</v>
      </c>
      <c r="Y252" s="178"/>
      <c r="Z252" s="178"/>
      <c r="AA252" s="178"/>
      <c r="AB252" s="178"/>
      <c r="AC252" s="178"/>
      <c r="AD252" s="178"/>
      <c r="AE252" s="178"/>
      <c r="AF252" s="178"/>
      <c r="AG252" s="178"/>
      <c r="AH252" s="178"/>
      <c r="AI252" s="178"/>
      <c r="AJ252" s="178"/>
      <c r="AK252" s="178"/>
      <c r="AL252" s="178"/>
      <c r="AM252" s="178"/>
      <c r="AN252" s="178"/>
      <c r="AO252" s="178"/>
      <c r="AP252" s="150"/>
      <c r="AQ252" s="148"/>
      <c r="AR252" s="148"/>
      <c r="AS252" s="148"/>
    </row>
    <row r="253" spans="2:45" ht="18" customHeight="1" thickBot="1" x14ac:dyDescent="0.25">
      <c r="B253" s="145">
        <v>23</v>
      </c>
      <c r="C253" s="170"/>
      <c r="D253" s="170"/>
      <c r="E253" s="172" t="s">
        <v>508</v>
      </c>
      <c r="F253" s="100"/>
      <c r="G253" s="174"/>
      <c r="H253" s="174"/>
      <c r="I253" s="173"/>
      <c r="J253" s="218" t="str">
        <f>IFERROR(VLOOKUP($F253,補助対象研修一覧!$A$2:$K$224,2,FALSE),"")</f>
        <v/>
      </c>
      <c r="K253" s="219"/>
      <c r="L253" s="219"/>
      <c r="M253" s="219"/>
      <c r="N253" s="219"/>
      <c r="O253" s="219"/>
      <c r="P253" s="220"/>
      <c r="Q253" s="174"/>
      <c r="R253" s="174"/>
      <c r="S253" s="174"/>
      <c r="T253" s="174"/>
      <c r="U253" s="174"/>
      <c r="V253" s="174"/>
      <c r="W253" s="170"/>
      <c r="X253" s="247" t="str">
        <f>IF($B253&lt;=入力シート!$F$22,""&amp;中間シート!X255,"")</f>
        <v/>
      </c>
      <c r="Y253" s="247"/>
      <c r="Z253" s="247"/>
      <c r="AA253" s="247"/>
      <c r="AB253" s="247"/>
      <c r="AC253" s="247"/>
      <c r="AD253" s="247"/>
      <c r="AE253" s="247"/>
      <c r="AF253" s="247"/>
      <c r="AG253" s="247"/>
      <c r="AH253" s="247"/>
      <c r="AI253" s="247"/>
      <c r="AJ253" s="247"/>
      <c r="AK253" s="247"/>
      <c r="AL253" s="247"/>
      <c r="AM253" s="247"/>
      <c r="AN253" s="247"/>
      <c r="AO253" s="247"/>
      <c r="AP253" s="150"/>
      <c r="AQ253" s="177">
        <f>IF(J253&lt;&gt;"",1,0)</f>
        <v>0</v>
      </c>
      <c r="AR253" s="148">
        <f>IF(H253&lt;&gt;"",1,0)</f>
        <v>0</v>
      </c>
      <c r="AS253" s="148"/>
    </row>
    <row r="254" spans="2:45" x14ac:dyDescent="0.2">
      <c r="C254" s="170"/>
      <c r="D254" s="170"/>
      <c r="E254" s="174"/>
      <c r="F254" s="179"/>
      <c r="G254" s="174"/>
      <c r="H254" s="174"/>
      <c r="I254" s="180"/>
      <c r="J254" s="175"/>
      <c r="K254" s="175"/>
      <c r="L254" s="175"/>
      <c r="M254" s="175"/>
      <c r="N254" s="175"/>
      <c r="O254" s="175"/>
      <c r="P254" s="175"/>
      <c r="Q254" s="174"/>
      <c r="R254" s="174"/>
      <c r="S254" s="174"/>
      <c r="T254" s="174"/>
      <c r="U254" s="174"/>
      <c r="V254" s="174"/>
      <c r="W254" s="170"/>
      <c r="X254" s="178" t="s">
        <v>79</v>
      </c>
      <c r="Y254" s="178"/>
      <c r="Z254" s="178"/>
      <c r="AA254" s="178"/>
      <c r="AB254" s="178"/>
      <c r="AC254" s="178"/>
      <c r="AD254" s="178"/>
      <c r="AE254" s="178"/>
      <c r="AF254" s="178"/>
      <c r="AG254" s="178"/>
      <c r="AH254" s="178"/>
      <c r="AI254" s="178"/>
      <c r="AJ254" s="178"/>
      <c r="AK254" s="178"/>
      <c r="AL254" s="178"/>
      <c r="AM254" s="178"/>
      <c r="AN254" s="178"/>
      <c r="AO254" s="178"/>
      <c r="AQ254" s="148"/>
      <c r="AR254" s="148"/>
      <c r="AS254" s="148"/>
    </row>
    <row r="255" spans="2:45" ht="15.6" thickBot="1" x14ac:dyDescent="0.25">
      <c r="C255" s="148"/>
      <c r="D255" s="148"/>
      <c r="E255" s="181"/>
      <c r="F255" s="182"/>
      <c r="G255" s="181"/>
      <c r="H255" s="181"/>
      <c r="I255" s="181"/>
      <c r="J255" s="177"/>
      <c r="K255" s="177"/>
      <c r="L255" s="177"/>
      <c r="M255" s="177"/>
      <c r="N255" s="177"/>
      <c r="O255" s="177"/>
      <c r="P255" s="177"/>
      <c r="Q255" s="181"/>
      <c r="R255" s="181"/>
      <c r="S255" s="181"/>
      <c r="T255" s="181"/>
      <c r="U255" s="181"/>
      <c r="V255" s="181"/>
      <c r="W255" s="148"/>
      <c r="X255" s="178" t="s">
        <v>79</v>
      </c>
      <c r="Y255" s="178"/>
      <c r="Z255" s="178"/>
      <c r="AA255" s="178"/>
      <c r="AB255" s="178"/>
      <c r="AC255" s="178"/>
      <c r="AD255" s="178"/>
      <c r="AE255" s="178"/>
      <c r="AF255" s="178"/>
      <c r="AG255" s="178"/>
      <c r="AH255" s="178"/>
      <c r="AI255" s="178"/>
      <c r="AJ255" s="178"/>
      <c r="AK255" s="178"/>
      <c r="AL255" s="178"/>
      <c r="AM255" s="178"/>
      <c r="AN255" s="178"/>
      <c r="AO255" s="178"/>
      <c r="AQ255" s="148"/>
      <c r="AR255" s="148"/>
      <c r="AS255" s="148"/>
    </row>
    <row r="256" spans="2:45" ht="18" customHeight="1" thickBot="1" x14ac:dyDescent="0.25">
      <c r="B256" s="145">
        <v>24</v>
      </c>
      <c r="C256" s="148"/>
      <c r="D256" s="184" t="s">
        <v>70</v>
      </c>
      <c r="E256" s="185" t="s">
        <v>506</v>
      </c>
      <c r="F256" s="100"/>
      <c r="G256" s="181"/>
      <c r="H256" s="181"/>
      <c r="I256" s="181"/>
      <c r="J256" s="218" t="str">
        <f>IFERROR(VLOOKUP($F256,補助対象研修一覧!$A$2:$K$224,2,FALSE),"")</f>
        <v/>
      </c>
      <c r="K256" s="219"/>
      <c r="L256" s="219"/>
      <c r="M256" s="219"/>
      <c r="N256" s="219"/>
      <c r="O256" s="219"/>
      <c r="P256" s="220"/>
      <c r="Q256" s="181"/>
      <c r="R256" s="181"/>
      <c r="S256" s="181"/>
      <c r="T256" s="181"/>
      <c r="U256" s="181"/>
      <c r="V256" s="181"/>
      <c r="W256" s="148"/>
      <c r="X256" s="247" t="str">
        <f>IF($B256&lt;=入力シート!$F$22,""&amp;中間シート!X256,"")</f>
        <v/>
      </c>
      <c r="Y256" s="247"/>
      <c r="Z256" s="247"/>
      <c r="AA256" s="247"/>
      <c r="AB256" s="247"/>
      <c r="AC256" s="247"/>
      <c r="AD256" s="247"/>
      <c r="AE256" s="247"/>
      <c r="AF256" s="247"/>
      <c r="AG256" s="247"/>
      <c r="AH256" s="247"/>
      <c r="AI256" s="247"/>
      <c r="AJ256" s="247"/>
      <c r="AK256" s="247"/>
      <c r="AL256" s="247"/>
      <c r="AM256" s="247"/>
      <c r="AN256" s="247"/>
      <c r="AO256" s="247"/>
      <c r="AQ256" s="177">
        <f>IF(J256&lt;&gt;"",1,0)</f>
        <v>0</v>
      </c>
      <c r="AR256" s="148">
        <f>IF(H256&lt;&gt;"",1,0)</f>
        <v>0</v>
      </c>
      <c r="AS256" s="148"/>
    </row>
    <row r="257" spans="2:45" ht="5.0999999999999996" customHeight="1" thickBot="1" x14ac:dyDescent="0.25">
      <c r="C257" s="148"/>
      <c r="D257" s="148"/>
      <c r="E257" s="181"/>
      <c r="F257" s="177"/>
      <c r="G257" s="181"/>
      <c r="H257" s="181"/>
      <c r="I257" s="181"/>
      <c r="J257" s="177"/>
      <c r="K257" s="177"/>
      <c r="L257" s="177"/>
      <c r="M257" s="177"/>
      <c r="N257" s="177"/>
      <c r="O257" s="177"/>
      <c r="P257" s="177"/>
      <c r="Q257" s="181"/>
      <c r="R257" s="181"/>
      <c r="S257" s="181"/>
      <c r="T257" s="181"/>
      <c r="U257" s="181"/>
      <c r="V257" s="181"/>
      <c r="W257" s="148"/>
      <c r="X257" s="178" t="s">
        <v>79</v>
      </c>
      <c r="Y257" s="178"/>
      <c r="Z257" s="178"/>
      <c r="AA257" s="178"/>
      <c r="AB257" s="178"/>
      <c r="AC257" s="178"/>
      <c r="AD257" s="178"/>
      <c r="AE257" s="178"/>
      <c r="AF257" s="178"/>
      <c r="AG257" s="178"/>
      <c r="AH257" s="178"/>
      <c r="AI257" s="178"/>
      <c r="AJ257" s="178"/>
      <c r="AK257" s="178"/>
      <c r="AL257" s="178"/>
      <c r="AM257" s="178"/>
      <c r="AN257" s="178"/>
      <c r="AO257" s="178"/>
      <c r="AP257" s="150"/>
      <c r="AQ257" s="148"/>
      <c r="AR257" s="148"/>
      <c r="AS257" s="148"/>
    </row>
    <row r="258" spans="2:45" ht="18" customHeight="1" thickBot="1" x14ac:dyDescent="0.25">
      <c r="B258" s="145">
        <v>24</v>
      </c>
      <c r="C258" s="148"/>
      <c r="D258" s="148"/>
      <c r="E258" s="185" t="s">
        <v>507</v>
      </c>
      <c r="F258" s="100"/>
      <c r="G258" s="181"/>
      <c r="H258" s="181"/>
      <c r="I258" s="181"/>
      <c r="J258" s="218" t="str">
        <f>IFERROR(VLOOKUP($F258,補助対象研修一覧!$A$2:$K$224,2,FALSE),"")</f>
        <v/>
      </c>
      <c r="K258" s="219"/>
      <c r="L258" s="219"/>
      <c r="M258" s="219"/>
      <c r="N258" s="219"/>
      <c r="O258" s="219"/>
      <c r="P258" s="220"/>
      <c r="Q258" s="181"/>
      <c r="R258" s="181"/>
      <c r="S258" s="181"/>
      <c r="T258" s="181"/>
      <c r="U258" s="181"/>
      <c r="V258" s="181"/>
      <c r="W258" s="148"/>
      <c r="X258" s="247" t="str">
        <f>IF($B258&lt;=入力シート!$F$22,""&amp;中間シート!X257,"")</f>
        <v/>
      </c>
      <c r="Y258" s="247"/>
      <c r="Z258" s="247"/>
      <c r="AA258" s="247"/>
      <c r="AB258" s="247"/>
      <c r="AC258" s="247"/>
      <c r="AD258" s="247"/>
      <c r="AE258" s="247"/>
      <c r="AF258" s="247"/>
      <c r="AG258" s="247"/>
      <c r="AH258" s="247"/>
      <c r="AI258" s="247"/>
      <c r="AJ258" s="247"/>
      <c r="AK258" s="247"/>
      <c r="AL258" s="247"/>
      <c r="AM258" s="247"/>
      <c r="AN258" s="247"/>
      <c r="AO258" s="247"/>
      <c r="AP258" s="150"/>
      <c r="AQ258" s="177">
        <f>IF(J258&lt;&gt;"",1,0)</f>
        <v>0</v>
      </c>
      <c r="AR258" s="148">
        <f>IF(H258&lt;&gt;"",1,0)</f>
        <v>0</v>
      </c>
      <c r="AS258" s="148"/>
    </row>
    <row r="259" spans="2:45" ht="5.0999999999999996" customHeight="1" thickBot="1" x14ac:dyDescent="0.25">
      <c r="C259" s="148"/>
      <c r="D259" s="148"/>
      <c r="E259" s="185"/>
      <c r="F259" s="182"/>
      <c r="G259" s="181"/>
      <c r="H259" s="181"/>
      <c r="I259" s="181"/>
      <c r="J259" s="182"/>
      <c r="K259" s="182"/>
      <c r="L259" s="182"/>
      <c r="M259" s="177"/>
      <c r="N259" s="182"/>
      <c r="O259" s="182"/>
      <c r="P259" s="182"/>
      <c r="Q259" s="181"/>
      <c r="R259" s="181"/>
      <c r="S259" s="181"/>
      <c r="T259" s="181"/>
      <c r="U259" s="181"/>
      <c r="V259" s="181"/>
      <c r="W259" s="148"/>
      <c r="X259" s="178" t="s">
        <v>79</v>
      </c>
      <c r="Y259" s="178"/>
      <c r="Z259" s="178"/>
      <c r="AA259" s="178"/>
      <c r="AB259" s="178"/>
      <c r="AC259" s="178"/>
      <c r="AD259" s="178"/>
      <c r="AE259" s="178"/>
      <c r="AF259" s="178"/>
      <c r="AG259" s="178"/>
      <c r="AH259" s="178"/>
      <c r="AI259" s="178"/>
      <c r="AJ259" s="178"/>
      <c r="AK259" s="178"/>
      <c r="AL259" s="178"/>
      <c r="AM259" s="178"/>
      <c r="AN259" s="178"/>
      <c r="AO259" s="178"/>
      <c r="AP259" s="150"/>
      <c r="AQ259" s="148"/>
      <c r="AR259" s="148"/>
      <c r="AS259" s="148"/>
    </row>
    <row r="260" spans="2:45" ht="18" customHeight="1" thickBot="1" x14ac:dyDescent="0.25">
      <c r="B260" s="145">
        <v>24</v>
      </c>
      <c r="C260" s="148"/>
      <c r="D260" s="148"/>
      <c r="E260" s="185" t="s">
        <v>508</v>
      </c>
      <c r="F260" s="100"/>
      <c r="G260" s="181"/>
      <c r="H260" s="181"/>
      <c r="I260" s="181"/>
      <c r="J260" s="218" t="str">
        <f>IFERROR(VLOOKUP($F260,補助対象研修一覧!$A$2:$K$224,2,FALSE),"")</f>
        <v/>
      </c>
      <c r="K260" s="219"/>
      <c r="L260" s="219"/>
      <c r="M260" s="219"/>
      <c r="N260" s="219"/>
      <c r="O260" s="219"/>
      <c r="P260" s="220"/>
      <c r="Q260" s="181"/>
      <c r="R260" s="181"/>
      <c r="S260" s="181"/>
      <c r="T260" s="181"/>
      <c r="U260" s="181"/>
      <c r="V260" s="181"/>
      <c r="W260" s="148"/>
      <c r="X260" s="247" t="str">
        <f>IF($B260&lt;=入力シート!$F$22,""&amp;中間シート!X258,"")</f>
        <v/>
      </c>
      <c r="Y260" s="247"/>
      <c r="Z260" s="247"/>
      <c r="AA260" s="247"/>
      <c r="AB260" s="247"/>
      <c r="AC260" s="247"/>
      <c r="AD260" s="247"/>
      <c r="AE260" s="247"/>
      <c r="AF260" s="247"/>
      <c r="AG260" s="247"/>
      <c r="AH260" s="247"/>
      <c r="AI260" s="247"/>
      <c r="AJ260" s="247"/>
      <c r="AK260" s="247"/>
      <c r="AL260" s="247"/>
      <c r="AM260" s="247"/>
      <c r="AN260" s="247"/>
      <c r="AO260" s="247"/>
      <c r="AP260" s="150"/>
      <c r="AQ260" s="177">
        <f>IF(J260&lt;&gt;"",1,0)</f>
        <v>0</v>
      </c>
      <c r="AR260" s="148">
        <f>IF(H260&lt;&gt;"",1,0)</f>
        <v>0</v>
      </c>
      <c r="AS260" s="148"/>
    </row>
    <row r="261" spans="2:45" x14ac:dyDescent="0.2">
      <c r="C261" s="148"/>
      <c r="D261" s="148"/>
      <c r="E261" s="181"/>
      <c r="F261" s="182"/>
      <c r="G261" s="181"/>
      <c r="H261" s="181"/>
      <c r="I261" s="181"/>
      <c r="J261" s="177"/>
      <c r="K261" s="177"/>
      <c r="L261" s="177"/>
      <c r="M261" s="177"/>
      <c r="N261" s="177"/>
      <c r="O261" s="177"/>
      <c r="P261" s="177"/>
      <c r="Q261" s="181"/>
      <c r="R261" s="181"/>
      <c r="S261" s="181"/>
      <c r="T261" s="181"/>
      <c r="U261" s="181"/>
      <c r="V261" s="181"/>
      <c r="W261" s="148"/>
      <c r="X261" s="178" t="s">
        <v>79</v>
      </c>
      <c r="Y261" s="178"/>
      <c r="Z261" s="178"/>
      <c r="AA261" s="178"/>
      <c r="AB261" s="178"/>
      <c r="AC261" s="178"/>
      <c r="AD261" s="178"/>
      <c r="AE261" s="178"/>
      <c r="AF261" s="178"/>
      <c r="AG261" s="178"/>
      <c r="AH261" s="178"/>
      <c r="AI261" s="178"/>
      <c r="AJ261" s="178"/>
      <c r="AK261" s="178"/>
      <c r="AL261" s="178"/>
      <c r="AM261" s="178"/>
      <c r="AN261" s="178"/>
      <c r="AO261" s="178"/>
      <c r="AQ261" s="148"/>
      <c r="AR261" s="148"/>
      <c r="AS261" s="148"/>
    </row>
    <row r="262" spans="2:45" ht="15.6" thickBot="1" x14ac:dyDescent="0.25">
      <c r="C262" s="170"/>
      <c r="D262" s="170"/>
      <c r="E262" s="174"/>
      <c r="F262" s="179"/>
      <c r="G262" s="174"/>
      <c r="H262" s="174"/>
      <c r="I262" s="180"/>
      <c r="J262" s="175"/>
      <c r="K262" s="175"/>
      <c r="L262" s="175"/>
      <c r="M262" s="175"/>
      <c r="N262" s="175"/>
      <c r="O262" s="175"/>
      <c r="P262" s="175"/>
      <c r="Q262" s="175"/>
      <c r="R262" s="174"/>
      <c r="S262" s="174"/>
      <c r="T262" s="174"/>
      <c r="U262" s="174"/>
      <c r="V262" s="174"/>
      <c r="W262" s="170"/>
      <c r="X262" s="178" t="s">
        <v>79</v>
      </c>
      <c r="Y262" s="178"/>
      <c r="Z262" s="178"/>
      <c r="AA262" s="178"/>
      <c r="AB262" s="178"/>
      <c r="AC262" s="178"/>
      <c r="AD262" s="178"/>
      <c r="AE262" s="178"/>
      <c r="AF262" s="178"/>
      <c r="AG262" s="178"/>
      <c r="AH262" s="178"/>
      <c r="AI262" s="178"/>
      <c r="AJ262" s="178"/>
      <c r="AK262" s="178"/>
      <c r="AL262" s="178"/>
      <c r="AM262" s="178"/>
      <c r="AN262" s="178"/>
      <c r="AO262" s="178"/>
      <c r="AQ262" s="148"/>
      <c r="AR262" s="148"/>
      <c r="AS262" s="148"/>
    </row>
    <row r="263" spans="2:45" ht="18" customHeight="1" thickBot="1" x14ac:dyDescent="0.25">
      <c r="B263" s="145">
        <v>25</v>
      </c>
      <c r="C263" s="170"/>
      <c r="D263" s="171" t="s">
        <v>71</v>
      </c>
      <c r="E263" s="172" t="s">
        <v>506</v>
      </c>
      <c r="F263" s="100"/>
      <c r="G263" s="170"/>
      <c r="H263" s="174"/>
      <c r="I263" s="173"/>
      <c r="J263" s="218" t="str">
        <f>IFERROR(VLOOKUP($F263,補助対象研修一覧!$A$2:$K$224,2,FALSE),"")</f>
        <v/>
      </c>
      <c r="K263" s="219"/>
      <c r="L263" s="219"/>
      <c r="M263" s="219"/>
      <c r="N263" s="219"/>
      <c r="O263" s="219"/>
      <c r="P263" s="220"/>
      <c r="Q263" s="175"/>
      <c r="R263" s="174"/>
      <c r="S263" s="174"/>
      <c r="T263" s="174"/>
      <c r="U263" s="174"/>
      <c r="V263" s="174"/>
      <c r="W263" s="170"/>
      <c r="X263" s="247" t="str">
        <f>IF($B263&lt;=入力シート!$F$22,""&amp;中間シート!X259,"")</f>
        <v/>
      </c>
      <c r="Y263" s="247"/>
      <c r="Z263" s="247"/>
      <c r="AA263" s="247"/>
      <c r="AB263" s="247"/>
      <c r="AC263" s="247"/>
      <c r="AD263" s="247"/>
      <c r="AE263" s="247"/>
      <c r="AF263" s="247"/>
      <c r="AG263" s="247"/>
      <c r="AH263" s="247"/>
      <c r="AI263" s="247"/>
      <c r="AJ263" s="247"/>
      <c r="AK263" s="247"/>
      <c r="AL263" s="247"/>
      <c r="AM263" s="247"/>
      <c r="AN263" s="247"/>
      <c r="AO263" s="247"/>
      <c r="AQ263" s="177">
        <f>IF(J263&lt;&gt;"",1,0)</f>
        <v>0</v>
      </c>
      <c r="AR263" s="148">
        <f>IF(H263&lt;&gt;"",1,0)</f>
        <v>0</v>
      </c>
      <c r="AS263" s="148"/>
    </row>
    <row r="264" spans="2:45" ht="5.0999999999999996" customHeight="1" thickBot="1" x14ac:dyDescent="0.25">
      <c r="C264" s="170"/>
      <c r="D264" s="170"/>
      <c r="E264" s="174"/>
      <c r="F264" s="175"/>
      <c r="G264" s="174"/>
      <c r="H264" s="174"/>
      <c r="I264" s="173"/>
      <c r="J264" s="175"/>
      <c r="K264" s="175"/>
      <c r="L264" s="175"/>
      <c r="M264" s="175"/>
      <c r="N264" s="175"/>
      <c r="O264" s="175"/>
      <c r="P264" s="175"/>
      <c r="Q264" s="175"/>
      <c r="R264" s="174"/>
      <c r="S264" s="174"/>
      <c r="T264" s="174"/>
      <c r="U264" s="174"/>
      <c r="V264" s="174"/>
      <c r="W264" s="170"/>
      <c r="X264" s="178" t="s">
        <v>79</v>
      </c>
      <c r="Y264" s="178"/>
      <c r="Z264" s="178"/>
      <c r="AA264" s="178"/>
      <c r="AB264" s="178"/>
      <c r="AC264" s="178"/>
      <c r="AD264" s="178"/>
      <c r="AE264" s="178"/>
      <c r="AF264" s="178"/>
      <c r="AG264" s="178"/>
      <c r="AH264" s="178"/>
      <c r="AI264" s="178"/>
      <c r="AJ264" s="178"/>
      <c r="AK264" s="178"/>
      <c r="AL264" s="178"/>
      <c r="AM264" s="178"/>
      <c r="AN264" s="178"/>
      <c r="AO264" s="178"/>
      <c r="AP264" s="150"/>
      <c r="AQ264" s="148"/>
      <c r="AR264" s="148"/>
      <c r="AS264" s="148"/>
    </row>
    <row r="265" spans="2:45" ht="18" customHeight="1" thickBot="1" x14ac:dyDescent="0.25">
      <c r="B265" s="145">
        <v>25</v>
      </c>
      <c r="C265" s="170"/>
      <c r="D265" s="170"/>
      <c r="E265" s="172" t="s">
        <v>507</v>
      </c>
      <c r="F265" s="100"/>
      <c r="G265" s="174"/>
      <c r="H265" s="174"/>
      <c r="I265" s="173"/>
      <c r="J265" s="218" t="str">
        <f>IFERROR(VLOOKUP($F265,補助対象研修一覧!$A$2:$K$224,2,FALSE),"")</f>
        <v/>
      </c>
      <c r="K265" s="219"/>
      <c r="L265" s="219"/>
      <c r="M265" s="219"/>
      <c r="N265" s="219"/>
      <c r="O265" s="219"/>
      <c r="P265" s="220"/>
      <c r="Q265" s="175"/>
      <c r="R265" s="174"/>
      <c r="S265" s="174"/>
      <c r="T265" s="174"/>
      <c r="U265" s="174"/>
      <c r="V265" s="174"/>
      <c r="W265" s="170"/>
      <c r="X265" s="247" t="str">
        <f>IF($B265&lt;=入力シート!$F$22,""&amp;中間シート!X260,"")</f>
        <v/>
      </c>
      <c r="Y265" s="247"/>
      <c r="Z265" s="247"/>
      <c r="AA265" s="247"/>
      <c r="AB265" s="247"/>
      <c r="AC265" s="247"/>
      <c r="AD265" s="247"/>
      <c r="AE265" s="247"/>
      <c r="AF265" s="247"/>
      <c r="AG265" s="247"/>
      <c r="AH265" s="247"/>
      <c r="AI265" s="247"/>
      <c r="AJ265" s="247"/>
      <c r="AK265" s="247"/>
      <c r="AL265" s="247"/>
      <c r="AM265" s="247"/>
      <c r="AN265" s="247"/>
      <c r="AO265" s="247"/>
      <c r="AP265" s="150"/>
      <c r="AQ265" s="177">
        <f>IF(J265&lt;&gt;"",1,0)</f>
        <v>0</v>
      </c>
      <c r="AR265" s="148">
        <f>IF(H265&lt;&gt;"",1,0)</f>
        <v>0</v>
      </c>
      <c r="AS265" s="148"/>
    </row>
    <row r="266" spans="2:45" ht="5.0999999999999996" customHeight="1" thickBot="1" x14ac:dyDescent="0.25">
      <c r="C266" s="170"/>
      <c r="D266" s="170"/>
      <c r="E266" s="172"/>
      <c r="F266" s="179"/>
      <c r="G266" s="174"/>
      <c r="H266" s="174"/>
      <c r="I266" s="173"/>
      <c r="J266" s="179"/>
      <c r="K266" s="179"/>
      <c r="L266" s="179"/>
      <c r="M266" s="175"/>
      <c r="N266" s="179"/>
      <c r="O266" s="179"/>
      <c r="P266" s="179"/>
      <c r="Q266" s="175"/>
      <c r="R266" s="174"/>
      <c r="S266" s="174"/>
      <c r="T266" s="174"/>
      <c r="U266" s="174"/>
      <c r="V266" s="174"/>
      <c r="W266" s="170"/>
      <c r="X266" s="178" t="s">
        <v>79</v>
      </c>
      <c r="Y266" s="178"/>
      <c r="Z266" s="178"/>
      <c r="AA266" s="178"/>
      <c r="AB266" s="178"/>
      <c r="AC266" s="178"/>
      <c r="AD266" s="178"/>
      <c r="AE266" s="178"/>
      <c r="AF266" s="178"/>
      <c r="AG266" s="178"/>
      <c r="AH266" s="178"/>
      <c r="AI266" s="178"/>
      <c r="AJ266" s="178"/>
      <c r="AK266" s="178"/>
      <c r="AL266" s="178"/>
      <c r="AM266" s="178"/>
      <c r="AN266" s="178"/>
      <c r="AO266" s="178"/>
      <c r="AP266" s="150"/>
      <c r="AQ266" s="148"/>
      <c r="AR266" s="148"/>
      <c r="AS266" s="148"/>
    </row>
    <row r="267" spans="2:45" ht="18" customHeight="1" thickBot="1" x14ac:dyDescent="0.25">
      <c r="B267" s="145">
        <v>25</v>
      </c>
      <c r="C267" s="170"/>
      <c r="D267" s="170"/>
      <c r="E267" s="172" t="s">
        <v>508</v>
      </c>
      <c r="F267" s="100"/>
      <c r="G267" s="174"/>
      <c r="H267" s="174"/>
      <c r="I267" s="173"/>
      <c r="J267" s="218" t="str">
        <f>IFERROR(VLOOKUP($F267,補助対象研修一覧!$A$2:$K$224,2,FALSE),"")</f>
        <v/>
      </c>
      <c r="K267" s="219"/>
      <c r="L267" s="219"/>
      <c r="M267" s="219"/>
      <c r="N267" s="219"/>
      <c r="O267" s="219"/>
      <c r="P267" s="220"/>
      <c r="Q267" s="175"/>
      <c r="R267" s="174"/>
      <c r="S267" s="174"/>
      <c r="T267" s="174"/>
      <c r="U267" s="174"/>
      <c r="V267" s="174"/>
      <c r="W267" s="170"/>
      <c r="X267" s="247" t="str">
        <f>IF($B267&lt;=入力シート!$F$22,""&amp;中間シート!X261,"")</f>
        <v/>
      </c>
      <c r="Y267" s="247"/>
      <c r="Z267" s="247"/>
      <c r="AA267" s="247"/>
      <c r="AB267" s="247"/>
      <c r="AC267" s="247"/>
      <c r="AD267" s="247"/>
      <c r="AE267" s="247"/>
      <c r="AF267" s="247"/>
      <c r="AG267" s="247"/>
      <c r="AH267" s="247"/>
      <c r="AI267" s="247"/>
      <c r="AJ267" s="247"/>
      <c r="AK267" s="247"/>
      <c r="AL267" s="247"/>
      <c r="AM267" s="247"/>
      <c r="AN267" s="247"/>
      <c r="AO267" s="247"/>
      <c r="AP267" s="150"/>
      <c r="AQ267" s="177">
        <f>IF(J267&lt;&gt;"",1,0)</f>
        <v>0</v>
      </c>
      <c r="AR267" s="148">
        <f>IF(H267&lt;&gt;"",1,0)</f>
        <v>0</v>
      </c>
      <c r="AS267" s="148"/>
    </row>
    <row r="268" spans="2:45" x14ac:dyDescent="0.2">
      <c r="C268" s="170"/>
      <c r="D268" s="170"/>
      <c r="E268" s="174"/>
      <c r="F268" s="179"/>
      <c r="G268" s="174"/>
      <c r="H268" s="174"/>
      <c r="I268" s="180"/>
      <c r="J268" s="175"/>
      <c r="K268" s="175"/>
      <c r="L268" s="175"/>
      <c r="M268" s="175"/>
      <c r="N268" s="175"/>
      <c r="O268" s="175"/>
      <c r="P268" s="175"/>
      <c r="Q268" s="175"/>
      <c r="R268" s="174"/>
      <c r="S268" s="174"/>
      <c r="T268" s="174"/>
      <c r="U268" s="174"/>
      <c r="V268" s="174"/>
      <c r="W268" s="170"/>
      <c r="X268" s="178" t="s">
        <v>79</v>
      </c>
      <c r="Y268" s="178"/>
      <c r="Z268" s="178"/>
      <c r="AA268" s="178"/>
      <c r="AB268" s="178"/>
      <c r="AC268" s="178"/>
      <c r="AD268" s="178"/>
      <c r="AE268" s="178"/>
      <c r="AF268" s="178"/>
      <c r="AG268" s="178"/>
      <c r="AH268" s="178"/>
      <c r="AI268" s="178"/>
      <c r="AJ268" s="178"/>
      <c r="AK268" s="178"/>
      <c r="AL268" s="178"/>
      <c r="AM268" s="178"/>
      <c r="AN268" s="178"/>
      <c r="AO268" s="178"/>
      <c r="AQ268" s="148"/>
      <c r="AR268" s="148"/>
      <c r="AS268" s="148"/>
    </row>
    <row r="269" spans="2:45" ht="15.6" thickBot="1" x14ac:dyDescent="0.25">
      <c r="C269" s="148"/>
      <c r="D269" s="148"/>
      <c r="E269" s="181"/>
      <c r="F269" s="182"/>
      <c r="G269" s="181"/>
      <c r="H269" s="181"/>
      <c r="I269" s="181"/>
      <c r="J269" s="177"/>
      <c r="K269" s="177"/>
      <c r="L269" s="177"/>
      <c r="M269" s="177"/>
      <c r="N269" s="177"/>
      <c r="O269" s="177"/>
      <c r="P269" s="177"/>
      <c r="Q269" s="181"/>
      <c r="R269" s="181"/>
      <c r="S269" s="181"/>
      <c r="T269" s="181"/>
      <c r="U269" s="181"/>
      <c r="V269" s="181"/>
      <c r="W269" s="148"/>
      <c r="X269" s="178" t="s">
        <v>79</v>
      </c>
      <c r="Y269" s="178"/>
      <c r="Z269" s="178"/>
      <c r="AA269" s="178"/>
      <c r="AB269" s="178"/>
      <c r="AC269" s="178"/>
      <c r="AD269" s="178"/>
      <c r="AE269" s="178"/>
      <c r="AF269" s="178"/>
      <c r="AG269" s="178"/>
      <c r="AH269" s="178"/>
      <c r="AI269" s="178"/>
      <c r="AJ269" s="178"/>
      <c r="AK269" s="178"/>
      <c r="AL269" s="178"/>
      <c r="AM269" s="178"/>
      <c r="AN269" s="178"/>
      <c r="AO269" s="178"/>
      <c r="AQ269" s="148"/>
      <c r="AR269" s="148"/>
      <c r="AS269" s="148"/>
    </row>
    <row r="270" spans="2:45" ht="18" customHeight="1" thickBot="1" x14ac:dyDescent="0.25">
      <c r="B270" s="145">
        <v>26</v>
      </c>
      <c r="C270" s="148"/>
      <c r="D270" s="184" t="s">
        <v>72</v>
      </c>
      <c r="E270" s="185" t="s">
        <v>506</v>
      </c>
      <c r="F270" s="100"/>
      <c r="G270" s="181"/>
      <c r="H270" s="181"/>
      <c r="I270" s="181"/>
      <c r="J270" s="218" t="str">
        <f>IFERROR(VLOOKUP($F270,補助対象研修一覧!$A$2:$K$224,2,FALSE),"")</f>
        <v/>
      </c>
      <c r="K270" s="219"/>
      <c r="L270" s="219"/>
      <c r="M270" s="219"/>
      <c r="N270" s="219"/>
      <c r="O270" s="219"/>
      <c r="P270" s="220"/>
      <c r="Q270" s="181"/>
      <c r="R270" s="181"/>
      <c r="S270" s="181"/>
      <c r="T270" s="181"/>
      <c r="U270" s="181"/>
      <c r="V270" s="181"/>
      <c r="W270" s="148"/>
      <c r="X270" s="247" t="str">
        <f>IF($B270&lt;=入力シート!$F$22,""&amp;中間シート!X262,"")</f>
        <v/>
      </c>
      <c r="Y270" s="247"/>
      <c r="Z270" s="247"/>
      <c r="AA270" s="247"/>
      <c r="AB270" s="247"/>
      <c r="AC270" s="247"/>
      <c r="AD270" s="247"/>
      <c r="AE270" s="247"/>
      <c r="AF270" s="247"/>
      <c r="AG270" s="247"/>
      <c r="AH270" s="247"/>
      <c r="AI270" s="247"/>
      <c r="AJ270" s="247"/>
      <c r="AK270" s="247"/>
      <c r="AL270" s="247"/>
      <c r="AM270" s="247"/>
      <c r="AN270" s="247"/>
      <c r="AO270" s="247"/>
      <c r="AQ270" s="177">
        <f>IF(J270&lt;&gt;"",1,0)</f>
        <v>0</v>
      </c>
      <c r="AR270" s="148">
        <f>IF(H270&lt;&gt;"",1,0)</f>
        <v>0</v>
      </c>
      <c r="AS270" s="148"/>
    </row>
    <row r="271" spans="2:45" ht="5.0999999999999996" customHeight="1" thickBot="1" x14ac:dyDescent="0.25">
      <c r="C271" s="148"/>
      <c r="D271" s="148"/>
      <c r="E271" s="181"/>
      <c r="F271" s="177"/>
      <c r="G271" s="181"/>
      <c r="H271" s="181"/>
      <c r="I271" s="181"/>
      <c r="J271" s="177"/>
      <c r="K271" s="177"/>
      <c r="L271" s="177"/>
      <c r="M271" s="177"/>
      <c r="N271" s="177"/>
      <c r="O271" s="177"/>
      <c r="P271" s="177"/>
      <c r="Q271" s="181"/>
      <c r="R271" s="181"/>
      <c r="S271" s="181"/>
      <c r="T271" s="181"/>
      <c r="U271" s="181"/>
      <c r="V271" s="181"/>
      <c r="W271" s="148"/>
      <c r="X271" s="178" t="s">
        <v>79</v>
      </c>
      <c r="Y271" s="178"/>
      <c r="Z271" s="178"/>
      <c r="AA271" s="178"/>
      <c r="AB271" s="178"/>
      <c r="AC271" s="178"/>
      <c r="AD271" s="178"/>
      <c r="AE271" s="178"/>
      <c r="AF271" s="178"/>
      <c r="AG271" s="178"/>
      <c r="AH271" s="178"/>
      <c r="AI271" s="178"/>
      <c r="AJ271" s="178"/>
      <c r="AK271" s="178"/>
      <c r="AL271" s="178"/>
      <c r="AM271" s="178"/>
      <c r="AN271" s="178"/>
      <c r="AO271" s="178"/>
      <c r="AP271" s="150"/>
      <c r="AQ271" s="148"/>
      <c r="AR271" s="148"/>
      <c r="AS271" s="148"/>
    </row>
    <row r="272" spans="2:45" ht="18" customHeight="1" thickBot="1" x14ac:dyDescent="0.25">
      <c r="B272" s="145">
        <v>26</v>
      </c>
      <c r="C272" s="148"/>
      <c r="D272" s="148"/>
      <c r="E272" s="185" t="s">
        <v>507</v>
      </c>
      <c r="F272" s="100"/>
      <c r="G272" s="181"/>
      <c r="H272" s="181"/>
      <c r="I272" s="181"/>
      <c r="J272" s="218" t="str">
        <f>IFERROR(VLOOKUP($F272,補助対象研修一覧!$A$2:$K$224,2,FALSE),"")</f>
        <v/>
      </c>
      <c r="K272" s="219"/>
      <c r="L272" s="219"/>
      <c r="M272" s="219"/>
      <c r="N272" s="219"/>
      <c r="O272" s="219"/>
      <c r="P272" s="220"/>
      <c r="Q272" s="181"/>
      <c r="R272" s="181"/>
      <c r="S272" s="181"/>
      <c r="T272" s="181"/>
      <c r="U272" s="181"/>
      <c r="V272" s="181"/>
      <c r="W272" s="148"/>
      <c r="X272" s="247" t="str">
        <f>IF($B272&lt;=入力シート!$F$22,""&amp;中間シート!X263,"")</f>
        <v/>
      </c>
      <c r="Y272" s="247"/>
      <c r="Z272" s="247"/>
      <c r="AA272" s="247"/>
      <c r="AB272" s="247"/>
      <c r="AC272" s="247"/>
      <c r="AD272" s="247"/>
      <c r="AE272" s="247"/>
      <c r="AF272" s="247"/>
      <c r="AG272" s="247"/>
      <c r="AH272" s="247"/>
      <c r="AI272" s="247"/>
      <c r="AJ272" s="247"/>
      <c r="AK272" s="247"/>
      <c r="AL272" s="247"/>
      <c r="AM272" s="247"/>
      <c r="AN272" s="247"/>
      <c r="AO272" s="247"/>
      <c r="AP272" s="150"/>
      <c r="AQ272" s="177">
        <f>IF(J272&lt;&gt;"",1,0)</f>
        <v>0</v>
      </c>
      <c r="AR272" s="148">
        <f>IF(H272&lt;&gt;"",1,0)</f>
        <v>0</v>
      </c>
      <c r="AS272" s="148"/>
    </row>
    <row r="273" spans="2:45" ht="5.0999999999999996" customHeight="1" thickBot="1" x14ac:dyDescent="0.25">
      <c r="C273" s="148"/>
      <c r="D273" s="148"/>
      <c r="E273" s="185"/>
      <c r="F273" s="182"/>
      <c r="G273" s="181"/>
      <c r="H273" s="181"/>
      <c r="I273" s="181"/>
      <c r="J273" s="182"/>
      <c r="K273" s="182"/>
      <c r="L273" s="182"/>
      <c r="M273" s="177"/>
      <c r="N273" s="182"/>
      <c r="O273" s="182"/>
      <c r="P273" s="182"/>
      <c r="Q273" s="181"/>
      <c r="R273" s="181"/>
      <c r="S273" s="181"/>
      <c r="T273" s="181"/>
      <c r="U273" s="181"/>
      <c r="V273" s="181"/>
      <c r="W273" s="148"/>
      <c r="X273" s="178" t="s">
        <v>79</v>
      </c>
      <c r="Y273" s="178"/>
      <c r="Z273" s="178"/>
      <c r="AA273" s="178"/>
      <c r="AB273" s="178"/>
      <c r="AC273" s="178"/>
      <c r="AD273" s="178"/>
      <c r="AE273" s="178"/>
      <c r="AF273" s="178"/>
      <c r="AG273" s="178"/>
      <c r="AH273" s="178"/>
      <c r="AI273" s="178"/>
      <c r="AJ273" s="178"/>
      <c r="AK273" s="178"/>
      <c r="AL273" s="178"/>
      <c r="AM273" s="178"/>
      <c r="AN273" s="178"/>
      <c r="AO273" s="178"/>
      <c r="AP273" s="150"/>
      <c r="AQ273" s="148"/>
      <c r="AR273" s="148"/>
      <c r="AS273" s="148"/>
    </row>
    <row r="274" spans="2:45" ht="18" customHeight="1" thickBot="1" x14ac:dyDescent="0.25">
      <c r="B274" s="145">
        <v>26</v>
      </c>
      <c r="C274" s="148"/>
      <c r="D274" s="148"/>
      <c r="E274" s="185" t="s">
        <v>508</v>
      </c>
      <c r="F274" s="100"/>
      <c r="G274" s="181"/>
      <c r="H274" s="181"/>
      <c r="I274" s="181"/>
      <c r="J274" s="218" t="str">
        <f>IFERROR(VLOOKUP($F274,補助対象研修一覧!$A$2:$K$224,2,FALSE),"")</f>
        <v/>
      </c>
      <c r="K274" s="219"/>
      <c r="L274" s="219"/>
      <c r="M274" s="219"/>
      <c r="N274" s="219"/>
      <c r="O274" s="219"/>
      <c r="P274" s="220"/>
      <c r="Q274" s="181"/>
      <c r="R274" s="181"/>
      <c r="S274" s="181"/>
      <c r="T274" s="181"/>
      <c r="U274" s="181"/>
      <c r="V274" s="181"/>
      <c r="W274" s="148"/>
      <c r="X274" s="247" t="str">
        <f>IF($B274&lt;=入力シート!$F$22,""&amp;中間シート!X264,"")</f>
        <v/>
      </c>
      <c r="Y274" s="247"/>
      <c r="Z274" s="247"/>
      <c r="AA274" s="247"/>
      <c r="AB274" s="247"/>
      <c r="AC274" s="247"/>
      <c r="AD274" s="247"/>
      <c r="AE274" s="247"/>
      <c r="AF274" s="247"/>
      <c r="AG274" s="247"/>
      <c r="AH274" s="247"/>
      <c r="AI274" s="247"/>
      <c r="AJ274" s="247"/>
      <c r="AK274" s="247"/>
      <c r="AL274" s="247"/>
      <c r="AM274" s="247"/>
      <c r="AN274" s="247"/>
      <c r="AO274" s="247"/>
      <c r="AP274" s="150"/>
      <c r="AQ274" s="177">
        <f>IF(J274&lt;&gt;"",1,0)</f>
        <v>0</v>
      </c>
      <c r="AR274" s="148">
        <f>IF(H274&lt;&gt;"",1,0)</f>
        <v>0</v>
      </c>
      <c r="AS274" s="148"/>
    </row>
    <row r="275" spans="2:45" x14ac:dyDescent="0.2">
      <c r="C275" s="148"/>
      <c r="D275" s="148"/>
      <c r="E275" s="181"/>
      <c r="F275" s="182"/>
      <c r="G275" s="181"/>
      <c r="H275" s="181"/>
      <c r="I275" s="183"/>
      <c r="J275" s="177"/>
      <c r="K275" s="177"/>
      <c r="L275" s="177"/>
      <c r="M275" s="177"/>
      <c r="N275" s="177"/>
      <c r="O275" s="177"/>
      <c r="P275" s="177"/>
      <c r="Q275" s="181"/>
      <c r="R275" s="181"/>
      <c r="S275" s="181"/>
      <c r="T275" s="181"/>
      <c r="U275" s="181"/>
      <c r="V275" s="181"/>
      <c r="W275" s="148"/>
      <c r="X275" s="178" t="s">
        <v>79</v>
      </c>
      <c r="Y275" s="178"/>
      <c r="Z275" s="178"/>
      <c r="AA275" s="178"/>
      <c r="AB275" s="178"/>
      <c r="AC275" s="178"/>
      <c r="AD275" s="178"/>
      <c r="AE275" s="178"/>
      <c r="AF275" s="178"/>
      <c r="AG275" s="178"/>
      <c r="AH275" s="178"/>
      <c r="AI275" s="178"/>
      <c r="AJ275" s="178"/>
      <c r="AK275" s="178"/>
      <c r="AL275" s="178"/>
      <c r="AM275" s="178"/>
      <c r="AN275" s="178"/>
      <c r="AO275" s="178"/>
      <c r="AQ275" s="148"/>
      <c r="AR275" s="148"/>
      <c r="AS275" s="148"/>
    </row>
    <row r="276" spans="2:45" ht="15.6" thickBot="1" x14ac:dyDescent="0.25">
      <c r="C276" s="170"/>
      <c r="D276" s="170"/>
      <c r="E276" s="174"/>
      <c r="F276" s="179"/>
      <c r="G276" s="174"/>
      <c r="H276" s="174"/>
      <c r="I276" s="180"/>
      <c r="J276" s="175"/>
      <c r="K276" s="175"/>
      <c r="L276" s="175"/>
      <c r="M276" s="175"/>
      <c r="N276" s="175"/>
      <c r="O276" s="175"/>
      <c r="P276" s="175"/>
      <c r="Q276" s="175"/>
      <c r="R276" s="174"/>
      <c r="S276" s="174"/>
      <c r="T276" s="174"/>
      <c r="U276" s="174"/>
      <c r="V276" s="174"/>
      <c r="W276" s="170"/>
      <c r="X276" s="178" t="s">
        <v>79</v>
      </c>
      <c r="Y276" s="178"/>
      <c r="Z276" s="178"/>
      <c r="AA276" s="178"/>
      <c r="AB276" s="178"/>
      <c r="AC276" s="178"/>
      <c r="AD276" s="178"/>
      <c r="AE276" s="178"/>
      <c r="AF276" s="178"/>
      <c r="AG276" s="178"/>
      <c r="AH276" s="178"/>
      <c r="AI276" s="178"/>
      <c r="AJ276" s="178"/>
      <c r="AK276" s="178"/>
      <c r="AL276" s="178"/>
      <c r="AM276" s="178"/>
      <c r="AN276" s="178"/>
      <c r="AO276" s="178"/>
      <c r="AQ276" s="148"/>
      <c r="AR276" s="148"/>
      <c r="AS276" s="148"/>
    </row>
    <row r="277" spans="2:45" ht="18" customHeight="1" thickBot="1" x14ac:dyDescent="0.25">
      <c r="B277" s="145">
        <v>27</v>
      </c>
      <c r="C277" s="170"/>
      <c r="D277" s="171" t="s">
        <v>73</v>
      </c>
      <c r="E277" s="172" t="s">
        <v>506</v>
      </c>
      <c r="F277" s="100"/>
      <c r="G277" s="170"/>
      <c r="H277" s="174"/>
      <c r="I277" s="173"/>
      <c r="J277" s="218" t="str">
        <f>IFERROR(VLOOKUP($F277,補助対象研修一覧!$A$2:$K$224,2,FALSE),"")</f>
        <v/>
      </c>
      <c r="K277" s="219"/>
      <c r="L277" s="219"/>
      <c r="M277" s="219"/>
      <c r="N277" s="219"/>
      <c r="O277" s="219"/>
      <c r="P277" s="220"/>
      <c r="Q277" s="175"/>
      <c r="R277" s="174"/>
      <c r="S277" s="174"/>
      <c r="T277" s="174"/>
      <c r="U277" s="174"/>
      <c r="V277" s="174"/>
      <c r="W277" s="170"/>
      <c r="X277" s="247" t="str">
        <f>IF($B277&lt;=入力シート!$F$22,""&amp;中間シート!X265,"")</f>
        <v/>
      </c>
      <c r="Y277" s="247"/>
      <c r="Z277" s="247"/>
      <c r="AA277" s="247"/>
      <c r="AB277" s="247"/>
      <c r="AC277" s="247"/>
      <c r="AD277" s="247"/>
      <c r="AE277" s="247"/>
      <c r="AF277" s="247"/>
      <c r="AG277" s="247"/>
      <c r="AH277" s="247"/>
      <c r="AI277" s="247"/>
      <c r="AJ277" s="247"/>
      <c r="AK277" s="247"/>
      <c r="AL277" s="247"/>
      <c r="AM277" s="247"/>
      <c r="AN277" s="247"/>
      <c r="AO277" s="247"/>
      <c r="AQ277" s="177">
        <f>IF(J277&lt;&gt;"",1,0)</f>
        <v>0</v>
      </c>
      <c r="AR277" s="148">
        <f>IF(H277&lt;&gt;"",1,0)</f>
        <v>0</v>
      </c>
      <c r="AS277" s="148"/>
    </row>
    <row r="278" spans="2:45" ht="5.0999999999999996" customHeight="1" thickBot="1" x14ac:dyDescent="0.25">
      <c r="C278" s="170"/>
      <c r="D278" s="170"/>
      <c r="E278" s="174"/>
      <c r="F278" s="175"/>
      <c r="G278" s="174"/>
      <c r="H278" s="174"/>
      <c r="I278" s="173"/>
      <c r="J278" s="175"/>
      <c r="K278" s="175"/>
      <c r="L278" s="175"/>
      <c r="M278" s="175"/>
      <c r="N278" s="175"/>
      <c r="O278" s="175"/>
      <c r="P278" s="175"/>
      <c r="Q278" s="175"/>
      <c r="R278" s="174"/>
      <c r="S278" s="174"/>
      <c r="T278" s="174"/>
      <c r="U278" s="174"/>
      <c r="V278" s="174"/>
      <c r="W278" s="170"/>
      <c r="X278" s="178" t="s">
        <v>79</v>
      </c>
      <c r="Y278" s="178"/>
      <c r="Z278" s="178"/>
      <c r="AA278" s="178"/>
      <c r="AB278" s="178"/>
      <c r="AC278" s="178"/>
      <c r="AD278" s="178"/>
      <c r="AE278" s="178"/>
      <c r="AF278" s="178"/>
      <c r="AG278" s="178"/>
      <c r="AH278" s="178"/>
      <c r="AI278" s="178"/>
      <c r="AJ278" s="178"/>
      <c r="AK278" s="178"/>
      <c r="AL278" s="178"/>
      <c r="AM278" s="178"/>
      <c r="AN278" s="178"/>
      <c r="AO278" s="178"/>
      <c r="AP278" s="150"/>
      <c r="AQ278" s="148"/>
      <c r="AR278" s="148"/>
      <c r="AS278" s="148"/>
    </row>
    <row r="279" spans="2:45" ht="18" customHeight="1" thickBot="1" x14ac:dyDescent="0.25">
      <c r="B279" s="145">
        <v>27</v>
      </c>
      <c r="C279" s="170"/>
      <c r="D279" s="170"/>
      <c r="E279" s="172" t="s">
        <v>507</v>
      </c>
      <c r="F279" s="100"/>
      <c r="G279" s="174"/>
      <c r="H279" s="174"/>
      <c r="I279" s="173"/>
      <c r="J279" s="218" t="str">
        <f>IFERROR(VLOOKUP($F279,補助対象研修一覧!$A$2:$K$224,2,FALSE),"")</f>
        <v/>
      </c>
      <c r="K279" s="219"/>
      <c r="L279" s="219"/>
      <c r="M279" s="219"/>
      <c r="N279" s="219"/>
      <c r="O279" s="219"/>
      <c r="P279" s="220"/>
      <c r="Q279" s="175"/>
      <c r="R279" s="174"/>
      <c r="S279" s="174"/>
      <c r="T279" s="174"/>
      <c r="U279" s="174"/>
      <c r="V279" s="174"/>
      <c r="W279" s="170"/>
      <c r="X279" s="247" t="str">
        <f>IF($B279&lt;=入力シート!$F$22,""&amp;中間シート!X266,"")</f>
        <v/>
      </c>
      <c r="Y279" s="247"/>
      <c r="Z279" s="247"/>
      <c r="AA279" s="247"/>
      <c r="AB279" s="247"/>
      <c r="AC279" s="247"/>
      <c r="AD279" s="247"/>
      <c r="AE279" s="247"/>
      <c r="AF279" s="247"/>
      <c r="AG279" s="247"/>
      <c r="AH279" s="247"/>
      <c r="AI279" s="247"/>
      <c r="AJ279" s="247"/>
      <c r="AK279" s="247"/>
      <c r="AL279" s="247"/>
      <c r="AM279" s="247"/>
      <c r="AN279" s="247"/>
      <c r="AO279" s="247"/>
      <c r="AP279" s="150"/>
      <c r="AQ279" s="177">
        <f>IF(J279&lt;&gt;"",1,0)</f>
        <v>0</v>
      </c>
      <c r="AR279" s="148">
        <f>IF(H279&lt;&gt;"",1,0)</f>
        <v>0</v>
      </c>
      <c r="AS279" s="148"/>
    </row>
    <row r="280" spans="2:45" ht="5.0999999999999996" customHeight="1" thickBot="1" x14ac:dyDescent="0.25">
      <c r="C280" s="170"/>
      <c r="D280" s="170"/>
      <c r="E280" s="172"/>
      <c r="F280" s="179"/>
      <c r="G280" s="174"/>
      <c r="H280" s="174"/>
      <c r="I280" s="173"/>
      <c r="J280" s="179"/>
      <c r="K280" s="179"/>
      <c r="L280" s="179"/>
      <c r="M280" s="175"/>
      <c r="N280" s="179"/>
      <c r="O280" s="179"/>
      <c r="P280" s="179"/>
      <c r="Q280" s="175"/>
      <c r="R280" s="174"/>
      <c r="S280" s="174"/>
      <c r="T280" s="174"/>
      <c r="U280" s="174"/>
      <c r="V280" s="174"/>
      <c r="W280" s="170"/>
      <c r="X280" s="178" t="s">
        <v>79</v>
      </c>
      <c r="Y280" s="178"/>
      <c r="Z280" s="178"/>
      <c r="AA280" s="178"/>
      <c r="AB280" s="178"/>
      <c r="AC280" s="178"/>
      <c r="AD280" s="178"/>
      <c r="AE280" s="178"/>
      <c r="AF280" s="178"/>
      <c r="AG280" s="178"/>
      <c r="AH280" s="178"/>
      <c r="AI280" s="178"/>
      <c r="AJ280" s="178"/>
      <c r="AK280" s="178"/>
      <c r="AL280" s="178"/>
      <c r="AM280" s="178"/>
      <c r="AN280" s="178"/>
      <c r="AO280" s="178"/>
      <c r="AP280" s="150"/>
      <c r="AQ280" s="148"/>
      <c r="AR280" s="148"/>
      <c r="AS280" s="148"/>
    </row>
    <row r="281" spans="2:45" ht="18" customHeight="1" thickBot="1" x14ac:dyDescent="0.25">
      <c r="B281" s="145">
        <v>27</v>
      </c>
      <c r="C281" s="170"/>
      <c r="D281" s="170"/>
      <c r="E281" s="172" t="s">
        <v>508</v>
      </c>
      <c r="F281" s="100"/>
      <c r="G281" s="174"/>
      <c r="H281" s="174"/>
      <c r="I281" s="173"/>
      <c r="J281" s="218" t="str">
        <f>IFERROR(VLOOKUP($F281,補助対象研修一覧!$A$2:$K$224,2,FALSE),"")</f>
        <v/>
      </c>
      <c r="K281" s="219"/>
      <c r="L281" s="219"/>
      <c r="M281" s="219"/>
      <c r="N281" s="219"/>
      <c r="O281" s="219"/>
      <c r="P281" s="220"/>
      <c r="Q281" s="175"/>
      <c r="R281" s="174"/>
      <c r="S281" s="174"/>
      <c r="T281" s="174"/>
      <c r="U281" s="174"/>
      <c r="V281" s="174"/>
      <c r="W281" s="170"/>
      <c r="X281" s="247" t="str">
        <f>IF($B281&lt;=入力シート!$F$22,""&amp;中間シート!X267,"")</f>
        <v/>
      </c>
      <c r="Y281" s="247"/>
      <c r="Z281" s="247"/>
      <c r="AA281" s="247"/>
      <c r="AB281" s="247"/>
      <c r="AC281" s="247"/>
      <c r="AD281" s="247"/>
      <c r="AE281" s="247"/>
      <c r="AF281" s="247"/>
      <c r="AG281" s="247"/>
      <c r="AH281" s="247"/>
      <c r="AI281" s="247"/>
      <c r="AJ281" s="247"/>
      <c r="AK281" s="247"/>
      <c r="AL281" s="247"/>
      <c r="AM281" s="247"/>
      <c r="AN281" s="247"/>
      <c r="AO281" s="247"/>
      <c r="AP281" s="150"/>
      <c r="AQ281" s="177">
        <f>IF(J281&lt;&gt;"",1,0)</f>
        <v>0</v>
      </c>
      <c r="AR281" s="148">
        <f>IF(H281&lt;&gt;"",1,0)</f>
        <v>0</v>
      </c>
      <c r="AS281" s="148"/>
    </row>
    <row r="282" spans="2:45" x14ac:dyDescent="0.2">
      <c r="C282" s="170"/>
      <c r="D282" s="170"/>
      <c r="E282" s="174"/>
      <c r="F282" s="179"/>
      <c r="G282" s="174"/>
      <c r="H282" s="174"/>
      <c r="I282" s="180"/>
      <c r="J282" s="175"/>
      <c r="K282" s="175"/>
      <c r="L282" s="175"/>
      <c r="M282" s="175"/>
      <c r="N282" s="175"/>
      <c r="O282" s="175"/>
      <c r="P282" s="175"/>
      <c r="Q282" s="175"/>
      <c r="R282" s="174"/>
      <c r="S282" s="174"/>
      <c r="T282" s="174"/>
      <c r="U282" s="174"/>
      <c r="V282" s="174"/>
      <c r="W282" s="170"/>
      <c r="X282" s="178" t="s">
        <v>79</v>
      </c>
      <c r="Y282" s="178"/>
      <c r="Z282" s="178"/>
      <c r="AA282" s="178"/>
      <c r="AB282" s="178"/>
      <c r="AC282" s="178"/>
      <c r="AD282" s="178"/>
      <c r="AE282" s="178"/>
      <c r="AF282" s="178"/>
      <c r="AG282" s="178"/>
      <c r="AH282" s="178"/>
      <c r="AI282" s="178"/>
      <c r="AJ282" s="178"/>
      <c r="AK282" s="178"/>
      <c r="AL282" s="178"/>
      <c r="AM282" s="178"/>
      <c r="AN282" s="178"/>
      <c r="AO282" s="178"/>
      <c r="AQ282" s="148"/>
      <c r="AR282" s="148"/>
      <c r="AS282" s="148"/>
    </row>
    <row r="283" spans="2:45" ht="15.6" thickBot="1" x14ac:dyDescent="0.25">
      <c r="C283" s="148"/>
      <c r="D283" s="148"/>
      <c r="E283" s="181"/>
      <c r="F283" s="182"/>
      <c r="G283" s="181"/>
      <c r="H283" s="181"/>
      <c r="I283" s="183"/>
      <c r="J283" s="177"/>
      <c r="K283" s="177"/>
      <c r="L283" s="177"/>
      <c r="M283" s="177"/>
      <c r="N283" s="177"/>
      <c r="O283" s="177"/>
      <c r="P283" s="177"/>
      <c r="Q283" s="181"/>
      <c r="R283" s="181"/>
      <c r="S283" s="181"/>
      <c r="T283" s="181"/>
      <c r="U283" s="181"/>
      <c r="V283" s="181"/>
      <c r="W283" s="148"/>
      <c r="X283" s="178" t="s">
        <v>79</v>
      </c>
      <c r="Y283" s="178"/>
      <c r="Z283" s="178"/>
      <c r="AA283" s="178"/>
      <c r="AB283" s="178"/>
      <c r="AC283" s="178"/>
      <c r="AD283" s="178"/>
      <c r="AE283" s="178"/>
      <c r="AF283" s="178"/>
      <c r="AG283" s="178"/>
      <c r="AH283" s="178"/>
      <c r="AI283" s="178"/>
      <c r="AJ283" s="178"/>
      <c r="AK283" s="178"/>
      <c r="AL283" s="178"/>
      <c r="AM283" s="178"/>
      <c r="AN283" s="178"/>
      <c r="AO283" s="178"/>
      <c r="AQ283" s="148"/>
      <c r="AR283" s="148"/>
      <c r="AS283" s="148"/>
    </row>
    <row r="284" spans="2:45" ht="18" customHeight="1" thickBot="1" x14ac:dyDescent="0.25">
      <c r="B284" s="145">
        <v>28</v>
      </c>
      <c r="C284" s="148"/>
      <c r="D284" s="184" t="s">
        <v>74</v>
      </c>
      <c r="E284" s="185" t="s">
        <v>506</v>
      </c>
      <c r="F284" s="100"/>
      <c r="G284" s="181"/>
      <c r="H284" s="181"/>
      <c r="I284" s="186"/>
      <c r="J284" s="218" t="str">
        <f>IFERROR(VLOOKUP($F284,補助対象研修一覧!$A$2:$K$224,2,FALSE),"")</f>
        <v/>
      </c>
      <c r="K284" s="219"/>
      <c r="L284" s="219"/>
      <c r="M284" s="219"/>
      <c r="N284" s="219"/>
      <c r="O284" s="219"/>
      <c r="P284" s="220"/>
      <c r="Q284" s="181"/>
      <c r="R284" s="181"/>
      <c r="S284" s="181"/>
      <c r="T284" s="181"/>
      <c r="U284" s="181"/>
      <c r="V284" s="181"/>
      <c r="W284" s="148"/>
      <c r="X284" s="247" t="str">
        <f>IF($B284&lt;=入力シート!$F$22,""&amp;中間シート!X268,"")</f>
        <v/>
      </c>
      <c r="Y284" s="247"/>
      <c r="Z284" s="247"/>
      <c r="AA284" s="247"/>
      <c r="AB284" s="247"/>
      <c r="AC284" s="247"/>
      <c r="AD284" s="247"/>
      <c r="AE284" s="247"/>
      <c r="AF284" s="247"/>
      <c r="AG284" s="247"/>
      <c r="AH284" s="247"/>
      <c r="AI284" s="247"/>
      <c r="AJ284" s="247"/>
      <c r="AK284" s="247"/>
      <c r="AL284" s="247"/>
      <c r="AM284" s="247"/>
      <c r="AN284" s="247"/>
      <c r="AO284" s="247"/>
      <c r="AQ284" s="177">
        <f>IF(J284&lt;&gt;"",1,0)</f>
        <v>0</v>
      </c>
      <c r="AR284" s="148">
        <f>IF(H284&lt;&gt;"",1,0)</f>
        <v>0</v>
      </c>
      <c r="AS284" s="148"/>
    </row>
    <row r="285" spans="2:45" ht="5.0999999999999996" customHeight="1" thickBot="1" x14ac:dyDescent="0.25">
      <c r="C285" s="148"/>
      <c r="D285" s="148"/>
      <c r="E285" s="181"/>
      <c r="F285" s="177"/>
      <c r="G285" s="181"/>
      <c r="H285" s="181"/>
      <c r="I285" s="186"/>
      <c r="J285" s="177"/>
      <c r="K285" s="177"/>
      <c r="L285" s="177"/>
      <c r="M285" s="177"/>
      <c r="N285" s="177"/>
      <c r="O285" s="177"/>
      <c r="P285" s="177"/>
      <c r="Q285" s="181"/>
      <c r="R285" s="181"/>
      <c r="S285" s="181"/>
      <c r="T285" s="181"/>
      <c r="U285" s="181"/>
      <c r="V285" s="181"/>
      <c r="W285" s="148"/>
      <c r="X285" s="178" t="s">
        <v>79</v>
      </c>
      <c r="Y285" s="178"/>
      <c r="Z285" s="178"/>
      <c r="AA285" s="178"/>
      <c r="AB285" s="178"/>
      <c r="AC285" s="178"/>
      <c r="AD285" s="178"/>
      <c r="AE285" s="178"/>
      <c r="AF285" s="178"/>
      <c r="AG285" s="178"/>
      <c r="AH285" s="178"/>
      <c r="AI285" s="178"/>
      <c r="AJ285" s="178"/>
      <c r="AK285" s="178"/>
      <c r="AL285" s="178"/>
      <c r="AM285" s="178"/>
      <c r="AN285" s="178"/>
      <c r="AO285" s="178"/>
      <c r="AP285" s="150"/>
      <c r="AQ285" s="148"/>
      <c r="AR285" s="148"/>
      <c r="AS285" s="148"/>
    </row>
    <row r="286" spans="2:45" ht="18" customHeight="1" thickBot="1" x14ac:dyDescent="0.25">
      <c r="B286" s="145">
        <v>28</v>
      </c>
      <c r="C286" s="148"/>
      <c r="D286" s="148"/>
      <c r="E286" s="185" t="s">
        <v>507</v>
      </c>
      <c r="F286" s="100"/>
      <c r="G286" s="181"/>
      <c r="H286" s="181"/>
      <c r="I286" s="186"/>
      <c r="J286" s="218" t="str">
        <f>IFERROR(VLOOKUP($F286,補助対象研修一覧!$A$2:$K$224,2,FALSE),"")</f>
        <v/>
      </c>
      <c r="K286" s="219"/>
      <c r="L286" s="219"/>
      <c r="M286" s="219"/>
      <c r="N286" s="219"/>
      <c r="O286" s="219"/>
      <c r="P286" s="220"/>
      <c r="Q286" s="181"/>
      <c r="R286" s="181"/>
      <c r="S286" s="181"/>
      <c r="T286" s="181"/>
      <c r="U286" s="181"/>
      <c r="V286" s="181"/>
      <c r="W286" s="148"/>
      <c r="X286" s="247" t="str">
        <f>IF($B286&lt;=入力シート!$F$22,""&amp;中間シート!X269,"")</f>
        <v/>
      </c>
      <c r="Y286" s="247"/>
      <c r="Z286" s="247"/>
      <c r="AA286" s="247"/>
      <c r="AB286" s="247"/>
      <c r="AC286" s="247"/>
      <c r="AD286" s="247"/>
      <c r="AE286" s="247"/>
      <c r="AF286" s="247"/>
      <c r="AG286" s="247"/>
      <c r="AH286" s="247"/>
      <c r="AI286" s="247"/>
      <c r="AJ286" s="247"/>
      <c r="AK286" s="247"/>
      <c r="AL286" s="247"/>
      <c r="AM286" s="247"/>
      <c r="AN286" s="247"/>
      <c r="AO286" s="247"/>
      <c r="AP286" s="150"/>
      <c r="AQ286" s="177">
        <f>IF(J286&lt;&gt;"",1,0)</f>
        <v>0</v>
      </c>
      <c r="AR286" s="148">
        <f>IF(H286&lt;&gt;"",1,0)</f>
        <v>0</v>
      </c>
      <c r="AS286" s="148"/>
    </row>
    <row r="287" spans="2:45" ht="5.0999999999999996" customHeight="1" thickBot="1" x14ac:dyDescent="0.25">
      <c r="C287" s="148"/>
      <c r="D287" s="148"/>
      <c r="E287" s="185"/>
      <c r="F287" s="182"/>
      <c r="G287" s="181"/>
      <c r="H287" s="181"/>
      <c r="I287" s="186"/>
      <c r="J287" s="182"/>
      <c r="K287" s="182"/>
      <c r="L287" s="182"/>
      <c r="M287" s="177"/>
      <c r="N287" s="182"/>
      <c r="O287" s="182"/>
      <c r="P287" s="182"/>
      <c r="Q287" s="181"/>
      <c r="R287" s="181"/>
      <c r="S287" s="181"/>
      <c r="T287" s="181"/>
      <c r="U287" s="181"/>
      <c r="V287" s="181"/>
      <c r="W287" s="148"/>
      <c r="X287" s="178" t="s">
        <v>79</v>
      </c>
      <c r="Y287" s="178"/>
      <c r="Z287" s="178"/>
      <c r="AA287" s="178"/>
      <c r="AB287" s="178"/>
      <c r="AC287" s="178"/>
      <c r="AD287" s="178"/>
      <c r="AE287" s="178"/>
      <c r="AF287" s="178"/>
      <c r="AG287" s="178"/>
      <c r="AH287" s="178"/>
      <c r="AI287" s="178"/>
      <c r="AJ287" s="178"/>
      <c r="AK287" s="178"/>
      <c r="AL287" s="178"/>
      <c r="AM287" s="178"/>
      <c r="AN287" s="178"/>
      <c r="AO287" s="178"/>
      <c r="AP287" s="150"/>
      <c r="AQ287" s="148"/>
      <c r="AR287" s="148"/>
      <c r="AS287" s="148"/>
    </row>
    <row r="288" spans="2:45" ht="18" customHeight="1" thickBot="1" x14ac:dyDescent="0.25">
      <c r="B288" s="145">
        <v>28</v>
      </c>
      <c r="C288" s="148"/>
      <c r="D288" s="148"/>
      <c r="E288" s="185" t="s">
        <v>508</v>
      </c>
      <c r="F288" s="100"/>
      <c r="G288" s="181"/>
      <c r="H288" s="181"/>
      <c r="I288" s="186"/>
      <c r="J288" s="218" t="str">
        <f>IFERROR(VLOOKUP($F288,補助対象研修一覧!$A$2:$K$224,2,FALSE),"")</f>
        <v/>
      </c>
      <c r="K288" s="219"/>
      <c r="L288" s="219"/>
      <c r="M288" s="219"/>
      <c r="N288" s="219"/>
      <c r="O288" s="219"/>
      <c r="P288" s="220"/>
      <c r="Q288" s="181"/>
      <c r="R288" s="181"/>
      <c r="S288" s="181"/>
      <c r="T288" s="181"/>
      <c r="U288" s="181"/>
      <c r="V288" s="181"/>
      <c r="W288" s="148"/>
      <c r="X288" s="247" t="str">
        <f>IF($B288&lt;=入力シート!$F$22,""&amp;中間シート!X270,"")</f>
        <v/>
      </c>
      <c r="Y288" s="247"/>
      <c r="Z288" s="247"/>
      <c r="AA288" s="247"/>
      <c r="AB288" s="247"/>
      <c r="AC288" s="247"/>
      <c r="AD288" s="247"/>
      <c r="AE288" s="247"/>
      <c r="AF288" s="247"/>
      <c r="AG288" s="247"/>
      <c r="AH288" s="247"/>
      <c r="AI288" s="247"/>
      <c r="AJ288" s="247"/>
      <c r="AK288" s="247"/>
      <c r="AL288" s="247"/>
      <c r="AM288" s="247"/>
      <c r="AN288" s="247"/>
      <c r="AO288" s="247"/>
      <c r="AP288" s="150"/>
      <c r="AQ288" s="177">
        <f>IF(J288&lt;&gt;"",1,0)</f>
        <v>0</v>
      </c>
      <c r="AR288" s="148">
        <f>IF(H288&lt;&gt;"",1,0)</f>
        <v>0</v>
      </c>
      <c r="AS288" s="148"/>
    </row>
    <row r="289" spans="2:45" x14ac:dyDescent="0.2">
      <c r="C289" s="148"/>
      <c r="D289" s="148"/>
      <c r="E289" s="181"/>
      <c r="F289" s="182"/>
      <c r="G289" s="181"/>
      <c r="H289" s="181"/>
      <c r="I289" s="183"/>
      <c r="J289" s="177"/>
      <c r="K289" s="177"/>
      <c r="L289" s="177"/>
      <c r="M289" s="177"/>
      <c r="N289" s="177"/>
      <c r="O289" s="177"/>
      <c r="P289" s="177"/>
      <c r="Q289" s="181"/>
      <c r="R289" s="181"/>
      <c r="S289" s="181"/>
      <c r="T289" s="181"/>
      <c r="U289" s="181"/>
      <c r="V289" s="181"/>
      <c r="W289" s="148"/>
      <c r="X289" s="178" t="s">
        <v>79</v>
      </c>
      <c r="Y289" s="178"/>
      <c r="Z289" s="178"/>
      <c r="AA289" s="178"/>
      <c r="AB289" s="178"/>
      <c r="AC289" s="178"/>
      <c r="AD289" s="178"/>
      <c r="AE289" s="178"/>
      <c r="AF289" s="178"/>
      <c r="AG289" s="178"/>
      <c r="AH289" s="178"/>
      <c r="AI289" s="178"/>
      <c r="AJ289" s="178"/>
      <c r="AK289" s="178"/>
      <c r="AL289" s="178"/>
      <c r="AM289" s="178"/>
      <c r="AN289" s="178"/>
      <c r="AO289" s="178"/>
      <c r="AQ289" s="148"/>
      <c r="AR289" s="148"/>
      <c r="AS289" s="148"/>
    </row>
    <row r="290" spans="2:45" ht="15.6" thickBot="1" x14ac:dyDescent="0.25">
      <c r="C290" s="170"/>
      <c r="D290" s="170"/>
      <c r="E290" s="174"/>
      <c r="F290" s="179"/>
      <c r="G290" s="174"/>
      <c r="H290" s="174"/>
      <c r="I290" s="180"/>
      <c r="J290" s="175"/>
      <c r="K290" s="175"/>
      <c r="L290" s="175"/>
      <c r="M290" s="175"/>
      <c r="N290" s="175"/>
      <c r="O290" s="175"/>
      <c r="P290" s="175"/>
      <c r="Q290" s="175"/>
      <c r="R290" s="174"/>
      <c r="S290" s="174"/>
      <c r="T290" s="174"/>
      <c r="U290" s="174"/>
      <c r="V290" s="174"/>
      <c r="W290" s="170"/>
      <c r="X290" s="178" t="s">
        <v>79</v>
      </c>
      <c r="Y290" s="178"/>
      <c r="Z290" s="178"/>
      <c r="AA290" s="178"/>
      <c r="AB290" s="178"/>
      <c r="AC290" s="178"/>
      <c r="AD290" s="178"/>
      <c r="AE290" s="178"/>
      <c r="AF290" s="178"/>
      <c r="AG290" s="178"/>
      <c r="AH290" s="178"/>
      <c r="AI290" s="178"/>
      <c r="AJ290" s="178"/>
      <c r="AK290" s="178"/>
      <c r="AL290" s="178"/>
      <c r="AM290" s="178"/>
      <c r="AN290" s="178"/>
      <c r="AO290" s="178"/>
      <c r="AQ290" s="148"/>
      <c r="AR290" s="148"/>
      <c r="AS290" s="148"/>
    </row>
    <row r="291" spans="2:45" ht="18" customHeight="1" thickBot="1" x14ac:dyDescent="0.25">
      <c r="B291" s="145">
        <v>29</v>
      </c>
      <c r="C291" s="170"/>
      <c r="D291" s="171" t="s">
        <v>75</v>
      </c>
      <c r="E291" s="172" t="s">
        <v>506</v>
      </c>
      <c r="F291" s="100"/>
      <c r="G291" s="170"/>
      <c r="H291" s="174"/>
      <c r="I291" s="173"/>
      <c r="J291" s="218" t="str">
        <f>IFERROR(VLOOKUP($F291,補助対象研修一覧!$A$2:$K$224,2,FALSE),"")</f>
        <v/>
      </c>
      <c r="K291" s="219"/>
      <c r="L291" s="219"/>
      <c r="M291" s="219"/>
      <c r="N291" s="219"/>
      <c r="O291" s="219"/>
      <c r="P291" s="220"/>
      <c r="Q291" s="175"/>
      <c r="R291" s="174"/>
      <c r="S291" s="174"/>
      <c r="T291" s="174"/>
      <c r="U291" s="174"/>
      <c r="V291" s="174"/>
      <c r="W291" s="170"/>
      <c r="X291" s="247" t="str">
        <f>IF($B291&lt;=入力シート!$F$22,""&amp;中間シート!X271,"")</f>
        <v/>
      </c>
      <c r="Y291" s="247"/>
      <c r="Z291" s="247"/>
      <c r="AA291" s="247"/>
      <c r="AB291" s="247"/>
      <c r="AC291" s="247"/>
      <c r="AD291" s="247"/>
      <c r="AE291" s="247"/>
      <c r="AF291" s="247"/>
      <c r="AG291" s="247"/>
      <c r="AH291" s="247"/>
      <c r="AI291" s="247"/>
      <c r="AJ291" s="247"/>
      <c r="AK291" s="247"/>
      <c r="AL291" s="247"/>
      <c r="AM291" s="247"/>
      <c r="AN291" s="247"/>
      <c r="AO291" s="247"/>
      <c r="AQ291" s="177">
        <f>IF(J291&lt;&gt;"",1,0)</f>
        <v>0</v>
      </c>
      <c r="AR291" s="148">
        <f>IF(H291&lt;&gt;"",1,0)</f>
        <v>0</v>
      </c>
      <c r="AS291" s="148"/>
    </row>
    <row r="292" spans="2:45" ht="5.0999999999999996" customHeight="1" thickBot="1" x14ac:dyDescent="0.25">
      <c r="C292" s="170"/>
      <c r="D292" s="170"/>
      <c r="E292" s="174"/>
      <c r="F292" s="175"/>
      <c r="G292" s="174"/>
      <c r="H292" s="174"/>
      <c r="I292" s="173"/>
      <c r="J292" s="175"/>
      <c r="K292" s="175"/>
      <c r="L292" s="175"/>
      <c r="M292" s="175"/>
      <c r="N292" s="175"/>
      <c r="O292" s="175"/>
      <c r="P292" s="175"/>
      <c r="Q292" s="175"/>
      <c r="R292" s="174"/>
      <c r="S292" s="174"/>
      <c r="T292" s="174"/>
      <c r="U292" s="174"/>
      <c r="V292" s="174"/>
      <c r="W292" s="170"/>
      <c r="X292" s="178" t="s">
        <v>79</v>
      </c>
      <c r="Y292" s="178"/>
      <c r="Z292" s="178"/>
      <c r="AA292" s="178"/>
      <c r="AB292" s="178"/>
      <c r="AC292" s="178"/>
      <c r="AD292" s="178"/>
      <c r="AE292" s="178"/>
      <c r="AF292" s="178"/>
      <c r="AG292" s="178"/>
      <c r="AH292" s="178"/>
      <c r="AI292" s="178"/>
      <c r="AJ292" s="178"/>
      <c r="AK292" s="178"/>
      <c r="AL292" s="178"/>
      <c r="AM292" s="178"/>
      <c r="AN292" s="178"/>
      <c r="AO292" s="178"/>
      <c r="AP292" s="150"/>
      <c r="AQ292" s="148"/>
      <c r="AR292" s="148"/>
      <c r="AS292" s="148"/>
    </row>
    <row r="293" spans="2:45" ht="18" customHeight="1" thickBot="1" x14ac:dyDescent="0.25">
      <c r="B293" s="145">
        <v>29</v>
      </c>
      <c r="C293" s="170"/>
      <c r="D293" s="170"/>
      <c r="E293" s="172" t="s">
        <v>507</v>
      </c>
      <c r="F293" s="100"/>
      <c r="G293" s="174"/>
      <c r="H293" s="174"/>
      <c r="I293" s="173"/>
      <c r="J293" s="218" t="str">
        <f>IFERROR(VLOOKUP($F293,補助対象研修一覧!$A$2:$K$224,2,FALSE),"")</f>
        <v/>
      </c>
      <c r="K293" s="219"/>
      <c r="L293" s="219"/>
      <c r="M293" s="219"/>
      <c r="N293" s="219"/>
      <c r="O293" s="219"/>
      <c r="P293" s="220"/>
      <c r="Q293" s="175"/>
      <c r="R293" s="174"/>
      <c r="S293" s="174"/>
      <c r="T293" s="174"/>
      <c r="U293" s="174"/>
      <c r="V293" s="174"/>
      <c r="W293" s="170"/>
      <c r="X293" s="247" t="str">
        <f>IF($B293&lt;=入力シート!$F$22,""&amp;中間シート!X272,"")</f>
        <v/>
      </c>
      <c r="Y293" s="247"/>
      <c r="Z293" s="247"/>
      <c r="AA293" s="247"/>
      <c r="AB293" s="247"/>
      <c r="AC293" s="247"/>
      <c r="AD293" s="247"/>
      <c r="AE293" s="247"/>
      <c r="AF293" s="247"/>
      <c r="AG293" s="247"/>
      <c r="AH293" s="247"/>
      <c r="AI293" s="247"/>
      <c r="AJ293" s="247"/>
      <c r="AK293" s="247"/>
      <c r="AL293" s="247"/>
      <c r="AM293" s="247"/>
      <c r="AN293" s="247"/>
      <c r="AO293" s="247"/>
      <c r="AP293" s="150"/>
      <c r="AQ293" s="177">
        <f>IF(J293&lt;&gt;"",1,0)</f>
        <v>0</v>
      </c>
      <c r="AR293" s="148">
        <f>IF(H293&lt;&gt;"",1,0)</f>
        <v>0</v>
      </c>
      <c r="AS293" s="148"/>
    </row>
    <row r="294" spans="2:45" ht="5.0999999999999996" customHeight="1" thickBot="1" x14ac:dyDescent="0.25">
      <c r="C294" s="170"/>
      <c r="D294" s="170"/>
      <c r="E294" s="172"/>
      <c r="F294" s="179"/>
      <c r="G294" s="174"/>
      <c r="H294" s="174"/>
      <c r="I294" s="173"/>
      <c r="J294" s="179"/>
      <c r="K294" s="179"/>
      <c r="L294" s="179"/>
      <c r="M294" s="175"/>
      <c r="N294" s="179"/>
      <c r="O294" s="179"/>
      <c r="P294" s="179"/>
      <c r="Q294" s="175"/>
      <c r="R294" s="174"/>
      <c r="S294" s="174"/>
      <c r="T294" s="174"/>
      <c r="U294" s="174"/>
      <c r="V294" s="174"/>
      <c r="W294" s="170"/>
      <c r="X294" s="178" t="s">
        <v>79</v>
      </c>
      <c r="Y294" s="178"/>
      <c r="Z294" s="178"/>
      <c r="AA294" s="178"/>
      <c r="AB294" s="178"/>
      <c r="AC294" s="178"/>
      <c r="AD294" s="178"/>
      <c r="AE294" s="178"/>
      <c r="AF294" s="178"/>
      <c r="AG294" s="178"/>
      <c r="AH294" s="178"/>
      <c r="AI294" s="178"/>
      <c r="AJ294" s="178"/>
      <c r="AK294" s="178"/>
      <c r="AL294" s="178"/>
      <c r="AM294" s="178"/>
      <c r="AN294" s="178"/>
      <c r="AO294" s="178"/>
      <c r="AP294" s="150"/>
      <c r="AQ294" s="148"/>
      <c r="AR294" s="148"/>
      <c r="AS294" s="148"/>
    </row>
    <row r="295" spans="2:45" ht="18" customHeight="1" thickBot="1" x14ac:dyDescent="0.25">
      <c r="B295" s="145">
        <v>29</v>
      </c>
      <c r="C295" s="170"/>
      <c r="D295" s="170"/>
      <c r="E295" s="172" t="s">
        <v>508</v>
      </c>
      <c r="F295" s="100"/>
      <c r="G295" s="174"/>
      <c r="H295" s="174"/>
      <c r="I295" s="173"/>
      <c r="J295" s="218" t="str">
        <f>IFERROR(VLOOKUP($F295,補助対象研修一覧!$A$2:$K$224,2,FALSE),"")</f>
        <v/>
      </c>
      <c r="K295" s="219"/>
      <c r="L295" s="219"/>
      <c r="M295" s="219"/>
      <c r="N295" s="219"/>
      <c r="O295" s="219"/>
      <c r="P295" s="220"/>
      <c r="Q295" s="175"/>
      <c r="R295" s="174"/>
      <c r="S295" s="174"/>
      <c r="T295" s="174"/>
      <c r="U295" s="174"/>
      <c r="V295" s="174"/>
      <c r="W295" s="170"/>
      <c r="X295" s="247" t="str">
        <f>IF($B295&lt;=入力シート!$F$22,""&amp;中間シート!X273,"")</f>
        <v/>
      </c>
      <c r="Y295" s="247"/>
      <c r="Z295" s="247"/>
      <c r="AA295" s="247"/>
      <c r="AB295" s="247"/>
      <c r="AC295" s="247"/>
      <c r="AD295" s="247"/>
      <c r="AE295" s="247"/>
      <c r="AF295" s="247"/>
      <c r="AG295" s="247"/>
      <c r="AH295" s="247"/>
      <c r="AI295" s="247"/>
      <c r="AJ295" s="247"/>
      <c r="AK295" s="247"/>
      <c r="AL295" s="247"/>
      <c r="AM295" s="247"/>
      <c r="AN295" s="247"/>
      <c r="AO295" s="247"/>
      <c r="AP295" s="150"/>
      <c r="AQ295" s="177">
        <f>IF(J295&lt;&gt;"",1,0)</f>
        <v>0</v>
      </c>
      <c r="AR295" s="148">
        <f>IF(H295&lt;&gt;"",1,0)</f>
        <v>0</v>
      </c>
      <c r="AS295" s="148"/>
    </row>
    <row r="296" spans="2:45" x14ac:dyDescent="0.2">
      <c r="C296" s="170"/>
      <c r="D296" s="170"/>
      <c r="E296" s="174"/>
      <c r="F296" s="179"/>
      <c r="G296" s="174"/>
      <c r="H296" s="174"/>
      <c r="I296" s="180"/>
      <c r="J296" s="175"/>
      <c r="K296" s="175"/>
      <c r="L296" s="175"/>
      <c r="M296" s="175"/>
      <c r="N296" s="175"/>
      <c r="O296" s="175"/>
      <c r="P296" s="175"/>
      <c r="Q296" s="175"/>
      <c r="R296" s="174"/>
      <c r="S296" s="174"/>
      <c r="T296" s="174"/>
      <c r="U296" s="174"/>
      <c r="V296" s="174"/>
      <c r="W296" s="170"/>
      <c r="X296" s="178" t="s">
        <v>79</v>
      </c>
      <c r="Y296" s="178"/>
      <c r="Z296" s="178"/>
      <c r="AA296" s="178"/>
      <c r="AB296" s="178"/>
      <c r="AC296" s="178"/>
      <c r="AD296" s="178"/>
      <c r="AE296" s="178"/>
      <c r="AF296" s="178"/>
      <c r="AG296" s="178"/>
      <c r="AH296" s="178"/>
      <c r="AI296" s="178"/>
      <c r="AJ296" s="178"/>
      <c r="AK296" s="178"/>
      <c r="AL296" s="178"/>
      <c r="AM296" s="178"/>
      <c r="AN296" s="178"/>
      <c r="AO296" s="178"/>
      <c r="AQ296" s="148"/>
      <c r="AR296" s="148"/>
      <c r="AS296" s="148"/>
    </row>
    <row r="297" spans="2:45" ht="15.6" thickBot="1" x14ac:dyDescent="0.25">
      <c r="C297" s="148"/>
      <c r="D297" s="148"/>
      <c r="E297" s="181"/>
      <c r="F297" s="182"/>
      <c r="G297" s="181"/>
      <c r="H297" s="181"/>
      <c r="I297" s="183"/>
      <c r="J297" s="177"/>
      <c r="K297" s="177"/>
      <c r="L297" s="177"/>
      <c r="M297" s="177"/>
      <c r="N297" s="177"/>
      <c r="O297" s="177"/>
      <c r="P297" s="177"/>
      <c r="Q297" s="181"/>
      <c r="R297" s="181"/>
      <c r="S297" s="181"/>
      <c r="T297" s="181"/>
      <c r="U297" s="181"/>
      <c r="V297" s="181"/>
      <c r="W297" s="181"/>
      <c r="X297" s="178" t="s">
        <v>79</v>
      </c>
      <c r="Y297" s="178"/>
      <c r="Z297" s="178"/>
      <c r="AA297" s="178"/>
      <c r="AB297" s="178"/>
      <c r="AC297" s="178"/>
      <c r="AD297" s="178"/>
      <c r="AE297" s="178"/>
      <c r="AF297" s="178"/>
      <c r="AG297" s="178"/>
      <c r="AH297" s="178"/>
      <c r="AI297" s="178"/>
      <c r="AJ297" s="178"/>
      <c r="AK297" s="178"/>
      <c r="AL297" s="178"/>
      <c r="AM297" s="178"/>
      <c r="AN297" s="178"/>
      <c r="AO297" s="178"/>
      <c r="AQ297" s="148"/>
      <c r="AR297" s="148"/>
      <c r="AS297" s="148"/>
    </row>
    <row r="298" spans="2:45" ht="18" customHeight="1" thickBot="1" x14ac:dyDescent="0.25">
      <c r="B298" s="145">
        <v>30</v>
      </c>
      <c r="C298" s="148"/>
      <c r="D298" s="184" t="s">
        <v>76</v>
      </c>
      <c r="E298" s="185" t="s">
        <v>506</v>
      </c>
      <c r="F298" s="100"/>
      <c r="G298" s="181"/>
      <c r="H298" s="181"/>
      <c r="I298" s="186"/>
      <c r="J298" s="218" t="str">
        <f>IFERROR(VLOOKUP($F298,補助対象研修一覧!$A$2:$K$224,2,FALSE),"")</f>
        <v/>
      </c>
      <c r="K298" s="219"/>
      <c r="L298" s="219"/>
      <c r="M298" s="219"/>
      <c r="N298" s="219"/>
      <c r="O298" s="219"/>
      <c r="P298" s="220"/>
      <c r="Q298" s="181"/>
      <c r="R298" s="181"/>
      <c r="S298" s="181"/>
      <c r="T298" s="181"/>
      <c r="U298" s="181"/>
      <c r="V298" s="181"/>
      <c r="W298" s="181"/>
      <c r="X298" s="247" t="str">
        <f>IF($B298&lt;=入力シート!$F$22,""&amp;中間シート!X274,"")</f>
        <v/>
      </c>
      <c r="Y298" s="247"/>
      <c r="Z298" s="247"/>
      <c r="AA298" s="247"/>
      <c r="AB298" s="247"/>
      <c r="AC298" s="247"/>
      <c r="AD298" s="247"/>
      <c r="AE298" s="247"/>
      <c r="AF298" s="247"/>
      <c r="AG298" s="247"/>
      <c r="AH298" s="247"/>
      <c r="AI298" s="247"/>
      <c r="AJ298" s="247"/>
      <c r="AK298" s="247"/>
      <c r="AL298" s="247"/>
      <c r="AM298" s="247"/>
      <c r="AN298" s="247"/>
      <c r="AO298" s="247"/>
      <c r="AQ298" s="177">
        <f>IF(J298&lt;&gt;"",1,0)</f>
        <v>0</v>
      </c>
      <c r="AR298" s="148">
        <f>IF(H298&lt;&gt;"",1,0)</f>
        <v>0</v>
      </c>
      <c r="AS298" s="148"/>
    </row>
    <row r="299" spans="2:45" ht="5.0999999999999996" customHeight="1" thickBot="1" x14ac:dyDescent="0.25">
      <c r="C299" s="148"/>
      <c r="D299" s="148"/>
      <c r="E299" s="181"/>
      <c r="F299" s="177"/>
      <c r="G299" s="181"/>
      <c r="H299" s="181"/>
      <c r="I299" s="186"/>
      <c r="J299" s="177"/>
      <c r="K299" s="177"/>
      <c r="L299" s="177"/>
      <c r="M299" s="177"/>
      <c r="N299" s="177"/>
      <c r="O299" s="177"/>
      <c r="P299" s="177"/>
      <c r="Q299" s="181"/>
      <c r="R299" s="181"/>
      <c r="S299" s="181"/>
      <c r="T299" s="181"/>
      <c r="U299" s="181"/>
      <c r="V299" s="181"/>
      <c r="W299" s="181"/>
      <c r="X299" s="178" t="s">
        <v>79</v>
      </c>
      <c r="Y299" s="178"/>
      <c r="Z299" s="178"/>
      <c r="AA299" s="178"/>
      <c r="AB299" s="178"/>
      <c r="AC299" s="178"/>
      <c r="AD299" s="178"/>
      <c r="AE299" s="178"/>
      <c r="AF299" s="178"/>
      <c r="AG299" s="178"/>
      <c r="AH299" s="178"/>
      <c r="AI299" s="178"/>
      <c r="AJ299" s="178"/>
      <c r="AK299" s="178"/>
      <c r="AL299" s="178"/>
      <c r="AM299" s="178"/>
      <c r="AN299" s="178"/>
      <c r="AO299" s="178"/>
      <c r="AP299" s="150"/>
      <c r="AQ299" s="148"/>
      <c r="AR299" s="148"/>
      <c r="AS299" s="148"/>
    </row>
    <row r="300" spans="2:45" ht="18" customHeight="1" thickBot="1" x14ac:dyDescent="0.25">
      <c r="B300" s="145">
        <v>30</v>
      </c>
      <c r="C300" s="148"/>
      <c r="D300" s="148"/>
      <c r="E300" s="185" t="s">
        <v>507</v>
      </c>
      <c r="F300" s="100"/>
      <c r="G300" s="181"/>
      <c r="H300" s="181"/>
      <c r="I300" s="186"/>
      <c r="J300" s="218" t="str">
        <f>IFERROR(VLOOKUP($F300,補助対象研修一覧!$A$2:$K$224,2,FALSE),"")</f>
        <v/>
      </c>
      <c r="K300" s="219"/>
      <c r="L300" s="219"/>
      <c r="M300" s="219"/>
      <c r="N300" s="219"/>
      <c r="O300" s="219"/>
      <c r="P300" s="220"/>
      <c r="Q300" s="181"/>
      <c r="R300" s="181"/>
      <c r="S300" s="181"/>
      <c r="T300" s="181"/>
      <c r="U300" s="181"/>
      <c r="V300" s="181"/>
      <c r="W300" s="181"/>
      <c r="X300" s="247" t="str">
        <f>IF($B300&lt;=入力シート!$F$22,""&amp;中間シート!X275,"")</f>
        <v/>
      </c>
      <c r="Y300" s="247"/>
      <c r="Z300" s="247"/>
      <c r="AA300" s="247"/>
      <c r="AB300" s="247"/>
      <c r="AC300" s="247"/>
      <c r="AD300" s="247"/>
      <c r="AE300" s="247"/>
      <c r="AF300" s="247"/>
      <c r="AG300" s="247"/>
      <c r="AH300" s="247"/>
      <c r="AI300" s="247"/>
      <c r="AJ300" s="247"/>
      <c r="AK300" s="247"/>
      <c r="AL300" s="247"/>
      <c r="AM300" s="247"/>
      <c r="AN300" s="247"/>
      <c r="AO300" s="247"/>
      <c r="AP300" s="150"/>
      <c r="AQ300" s="177">
        <f>IF(J300&lt;&gt;"",1,0)</f>
        <v>0</v>
      </c>
      <c r="AR300" s="148">
        <f>IF(H300&lt;&gt;"",1,0)</f>
        <v>0</v>
      </c>
      <c r="AS300" s="148"/>
    </row>
    <row r="301" spans="2:45" ht="5.0999999999999996" customHeight="1" thickBot="1" x14ac:dyDescent="0.25">
      <c r="C301" s="148"/>
      <c r="D301" s="148"/>
      <c r="E301" s="185"/>
      <c r="F301" s="182"/>
      <c r="G301" s="181"/>
      <c r="H301" s="181"/>
      <c r="I301" s="186"/>
      <c r="J301" s="182"/>
      <c r="K301" s="182"/>
      <c r="L301" s="182"/>
      <c r="M301" s="177"/>
      <c r="N301" s="182"/>
      <c r="O301" s="182"/>
      <c r="P301" s="182"/>
      <c r="Q301" s="181"/>
      <c r="R301" s="181"/>
      <c r="S301" s="181"/>
      <c r="T301" s="181"/>
      <c r="U301" s="181"/>
      <c r="V301" s="181"/>
      <c r="W301" s="181"/>
      <c r="X301" s="178" t="s">
        <v>79</v>
      </c>
      <c r="Y301" s="178"/>
      <c r="Z301" s="178"/>
      <c r="AA301" s="178"/>
      <c r="AB301" s="178"/>
      <c r="AC301" s="178"/>
      <c r="AD301" s="178"/>
      <c r="AE301" s="178"/>
      <c r="AF301" s="178"/>
      <c r="AG301" s="178"/>
      <c r="AH301" s="178"/>
      <c r="AI301" s="178"/>
      <c r="AJ301" s="178"/>
      <c r="AK301" s="178"/>
      <c r="AL301" s="178"/>
      <c r="AM301" s="178"/>
      <c r="AN301" s="178"/>
      <c r="AO301" s="178"/>
      <c r="AP301" s="150"/>
      <c r="AQ301" s="148"/>
      <c r="AR301" s="148"/>
      <c r="AS301" s="148"/>
    </row>
    <row r="302" spans="2:45" ht="18" customHeight="1" thickBot="1" x14ac:dyDescent="0.25">
      <c r="B302" s="145">
        <v>30</v>
      </c>
      <c r="C302" s="148"/>
      <c r="D302" s="148"/>
      <c r="E302" s="185" t="s">
        <v>508</v>
      </c>
      <c r="F302" s="100"/>
      <c r="G302" s="181"/>
      <c r="H302" s="181"/>
      <c r="I302" s="186"/>
      <c r="J302" s="218" t="str">
        <f>IFERROR(VLOOKUP($F302,補助対象研修一覧!$A$2:$K$224,2,FALSE),"")</f>
        <v/>
      </c>
      <c r="K302" s="219"/>
      <c r="L302" s="219"/>
      <c r="M302" s="219"/>
      <c r="N302" s="219"/>
      <c r="O302" s="219"/>
      <c r="P302" s="220"/>
      <c r="Q302" s="181"/>
      <c r="R302" s="181"/>
      <c r="S302" s="181"/>
      <c r="T302" s="181"/>
      <c r="U302" s="181"/>
      <c r="V302" s="181"/>
      <c r="W302" s="181"/>
      <c r="X302" s="247" t="str">
        <f>IF($B302&lt;=入力シート!$F$22,""&amp;中間シート!X276,"")</f>
        <v/>
      </c>
      <c r="Y302" s="247"/>
      <c r="Z302" s="247"/>
      <c r="AA302" s="247"/>
      <c r="AB302" s="247"/>
      <c r="AC302" s="247"/>
      <c r="AD302" s="247"/>
      <c r="AE302" s="247"/>
      <c r="AF302" s="247"/>
      <c r="AG302" s="247"/>
      <c r="AH302" s="247"/>
      <c r="AI302" s="247"/>
      <c r="AJ302" s="247"/>
      <c r="AK302" s="247"/>
      <c r="AL302" s="247"/>
      <c r="AM302" s="247"/>
      <c r="AN302" s="247"/>
      <c r="AO302" s="247"/>
      <c r="AP302" s="150"/>
      <c r="AQ302" s="177">
        <f>IF(J302&lt;&gt;"",1,0)</f>
        <v>0</v>
      </c>
      <c r="AR302" s="148">
        <f>IF(H302&lt;&gt;"",1,0)</f>
        <v>0</v>
      </c>
      <c r="AS302" s="148"/>
    </row>
    <row r="303" spans="2:45" x14ac:dyDescent="0.2">
      <c r="C303" s="148"/>
      <c r="D303" s="148"/>
      <c r="E303" s="181"/>
      <c r="F303" s="182"/>
      <c r="G303" s="181"/>
      <c r="H303" s="181"/>
      <c r="I303" s="183"/>
      <c r="J303" s="177"/>
      <c r="K303" s="177"/>
      <c r="L303" s="177"/>
      <c r="M303" s="177"/>
      <c r="N303" s="177"/>
      <c r="O303" s="177"/>
      <c r="P303" s="177"/>
      <c r="Q303" s="181"/>
      <c r="R303" s="181"/>
      <c r="S303" s="181"/>
      <c r="T303" s="181"/>
      <c r="U303" s="181"/>
      <c r="V303" s="181"/>
      <c r="W303" s="181"/>
      <c r="X303" s="178" t="s">
        <v>79</v>
      </c>
      <c r="Y303" s="178"/>
      <c r="Z303" s="178"/>
      <c r="AA303" s="178"/>
      <c r="AB303" s="178"/>
      <c r="AC303" s="178"/>
      <c r="AD303" s="178"/>
      <c r="AE303" s="178"/>
      <c r="AF303" s="178"/>
      <c r="AG303" s="178"/>
      <c r="AH303" s="178"/>
      <c r="AI303" s="178"/>
      <c r="AJ303" s="178"/>
      <c r="AK303" s="178"/>
      <c r="AL303" s="178"/>
      <c r="AM303" s="178"/>
      <c r="AN303" s="178"/>
      <c r="AO303" s="178"/>
      <c r="AQ303" s="148"/>
      <c r="AR303" s="148"/>
      <c r="AS303" s="148"/>
    </row>
    <row r="304" spans="2:45" x14ac:dyDescent="0.2">
      <c r="C304" s="148"/>
      <c r="D304" s="148"/>
      <c r="E304" s="181"/>
      <c r="F304" s="181"/>
      <c r="G304" s="181"/>
      <c r="H304" s="181"/>
      <c r="I304" s="183"/>
      <c r="J304" s="148"/>
      <c r="K304" s="148"/>
      <c r="L304" s="148"/>
      <c r="M304" s="148"/>
      <c r="N304" s="148"/>
      <c r="O304" s="148"/>
      <c r="P304" s="148"/>
      <c r="Q304" s="148"/>
      <c r="R304" s="148"/>
      <c r="S304" s="148"/>
      <c r="T304" s="148"/>
      <c r="U304" s="148"/>
      <c r="V304" s="148"/>
      <c r="W304" s="148"/>
      <c r="X304" s="187"/>
      <c r="Y304" s="187"/>
      <c r="Z304" s="187"/>
      <c r="AA304" s="187"/>
      <c r="AB304" s="187"/>
      <c r="AC304" s="187"/>
      <c r="AD304" s="187"/>
      <c r="AE304" s="187"/>
      <c r="AF304" s="187"/>
      <c r="AG304" s="187"/>
      <c r="AH304" s="187"/>
      <c r="AI304" s="187"/>
      <c r="AJ304" s="187"/>
      <c r="AK304" s="187"/>
      <c r="AL304" s="187"/>
      <c r="AM304" s="187"/>
      <c r="AN304" s="187"/>
      <c r="AO304" s="187"/>
      <c r="AQ304" s="148"/>
      <c r="AR304" s="148"/>
      <c r="AS304" s="148"/>
    </row>
    <row r="305" spans="3:46" x14ac:dyDescent="0.2">
      <c r="C305" s="148"/>
      <c r="D305" s="148"/>
      <c r="E305" s="181"/>
      <c r="F305" s="148"/>
      <c r="G305" s="148"/>
      <c r="H305" s="148"/>
      <c r="I305" s="186"/>
      <c r="J305" s="148"/>
      <c r="K305" s="148"/>
      <c r="L305" s="148"/>
      <c r="M305" s="148"/>
      <c r="N305" s="148"/>
      <c r="O305" s="148"/>
      <c r="P305" s="148"/>
      <c r="Q305" s="148"/>
      <c r="R305" s="148"/>
      <c r="S305" s="148"/>
      <c r="T305" s="283" t="s">
        <v>77</v>
      </c>
      <c r="U305" s="283"/>
      <c r="V305" s="283"/>
      <c r="W305" s="148"/>
      <c r="X305" s="187"/>
      <c r="Y305" s="187"/>
      <c r="Z305" s="187"/>
      <c r="AA305" s="187"/>
      <c r="AB305" s="187"/>
      <c r="AC305" s="187"/>
      <c r="AD305" s="187"/>
      <c r="AE305" s="187"/>
      <c r="AF305" s="187"/>
      <c r="AG305" s="187"/>
      <c r="AH305" s="187"/>
      <c r="AI305" s="187"/>
      <c r="AJ305" s="187"/>
      <c r="AK305" s="187"/>
      <c r="AL305" s="187"/>
      <c r="AM305" s="187"/>
      <c r="AN305" s="187"/>
      <c r="AO305" s="187"/>
      <c r="AQ305" s="148"/>
      <c r="AR305" s="148"/>
      <c r="AS305" s="148"/>
    </row>
    <row r="306" spans="3:46" x14ac:dyDescent="0.2">
      <c r="C306" s="148"/>
      <c r="D306" s="148"/>
      <c r="E306" s="181"/>
      <c r="F306" s="148"/>
      <c r="G306" s="148"/>
      <c r="H306" s="148"/>
      <c r="I306" s="186"/>
      <c r="J306" s="148"/>
      <c r="K306" s="148"/>
      <c r="L306" s="148"/>
      <c r="M306" s="148"/>
      <c r="N306" s="148"/>
      <c r="O306" s="148"/>
      <c r="P306" s="148"/>
      <c r="Q306" s="148"/>
      <c r="R306" s="148"/>
      <c r="S306" s="148"/>
      <c r="T306" s="188"/>
      <c r="U306" s="188"/>
      <c r="V306" s="188"/>
      <c r="W306" s="148"/>
      <c r="X306" s="187"/>
      <c r="Y306" s="187"/>
      <c r="Z306" s="187"/>
      <c r="AA306" s="187"/>
      <c r="AB306" s="187"/>
      <c r="AC306" s="187"/>
      <c r="AD306" s="187"/>
      <c r="AE306" s="187"/>
      <c r="AF306" s="187"/>
      <c r="AG306" s="187"/>
      <c r="AH306" s="187"/>
      <c r="AI306" s="187"/>
      <c r="AJ306" s="187"/>
      <c r="AK306" s="187"/>
      <c r="AL306" s="187"/>
      <c r="AM306" s="187"/>
      <c r="AN306" s="187"/>
      <c r="AO306" s="187"/>
      <c r="AQ306" s="148"/>
      <c r="AR306" s="148"/>
      <c r="AS306" s="148"/>
    </row>
    <row r="307" spans="3:46" x14ac:dyDescent="0.2">
      <c r="X307" s="189"/>
      <c r="AQ307" s="148"/>
      <c r="AR307" s="148"/>
      <c r="AS307" s="148"/>
    </row>
    <row r="308" spans="3:46" ht="5.0999999999999996" customHeight="1" x14ac:dyDescent="0.2">
      <c r="C308" s="158"/>
      <c r="D308" s="158"/>
      <c r="E308" s="190"/>
      <c r="F308" s="191"/>
      <c r="G308" s="191"/>
      <c r="H308" s="191"/>
      <c r="I308" s="192"/>
      <c r="J308" s="127"/>
      <c r="K308" s="127"/>
      <c r="L308" s="127"/>
      <c r="M308" s="127"/>
      <c r="N308" s="127"/>
      <c r="O308" s="127"/>
      <c r="P308" s="191"/>
      <c r="Q308" s="191"/>
      <c r="R308" s="191"/>
      <c r="S308" s="191"/>
      <c r="T308" s="191"/>
      <c r="U308" s="191"/>
      <c r="V308" s="191"/>
      <c r="W308" s="158"/>
      <c r="X308" s="189"/>
      <c r="AQ308" s="148"/>
      <c r="AR308" s="148"/>
      <c r="AS308" s="148"/>
    </row>
    <row r="309" spans="3:46" x14ac:dyDescent="0.2">
      <c r="C309" s="158" t="str">
        <f>"２-３．事業場２"&amp;IF(2&lt;中間シート!G3,"～事業場"&amp;DBCS(中間シート!G3),"")&amp;"の研修の価格を税抜で入力してください。"</f>
        <v>２-３．事業場２の研修の価格を税抜で入力してください。</v>
      </c>
      <c r="D309" s="158"/>
      <c r="E309" s="156"/>
      <c r="F309" s="158"/>
      <c r="G309" s="158"/>
      <c r="H309" s="158"/>
      <c r="I309" s="192"/>
      <c r="J309" s="158"/>
      <c r="K309" s="158"/>
      <c r="L309" s="158"/>
      <c r="M309" s="158"/>
      <c r="N309" s="158"/>
      <c r="O309" s="158"/>
      <c r="P309" s="158"/>
      <c r="Q309" s="158"/>
      <c r="R309" s="158"/>
      <c r="S309" s="158"/>
      <c r="T309" s="158"/>
      <c r="U309" s="158"/>
      <c r="V309" s="158"/>
      <c r="W309" s="158"/>
      <c r="X309" s="189"/>
      <c r="AQ309" s="148"/>
      <c r="AR309" s="148"/>
      <c r="AS309" s="148"/>
    </row>
    <row r="310" spans="3:46" ht="5.0999999999999996" customHeight="1" x14ac:dyDescent="0.2">
      <c r="C310" s="158"/>
      <c r="D310" s="158"/>
      <c r="E310" s="190"/>
      <c r="F310" s="191"/>
      <c r="G310" s="191"/>
      <c r="H310" s="191"/>
      <c r="I310" s="192"/>
      <c r="J310" s="127"/>
      <c r="K310" s="127"/>
      <c r="L310" s="127"/>
      <c r="M310" s="127"/>
      <c r="N310" s="127"/>
      <c r="O310" s="127"/>
      <c r="P310" s="191"/>
      <c r="Q310" s="191"/>
      <c r="R310" s="191"/>
      <c r="S310" s="191"/>
      <c r="T310" s="191"/>
      <c r="U310" s="191"/>
      <c r="V310" s="191"/>
      <c r="W310" s="158"/>
      <c r="X310" s="189"/>
      <c r="AQ310" s="148"/>
      <c r="AR310" s="148"/>
      <c r="AS310" s="148"/>
    </row>
    <row r="311" spans="3:46" s="141" customFormat="1" x14ac:dyDescent="0.2">
      <c r="C311" s="191"/>
      <c r="D311" s="191" t="s">
        <v>564</v>
      </c>
      <c r="E311" s="191"/>
      <c r="F311" s="191"/>
      <c r="G311" s="191"/>
      <c r="H311" s="191"/>
      <c r="I311" s="192"/>
      <c r="J311" s="191"/>
      <c r="K311" s="191"/>
      <c r="L311" s="191"/>
      <c r="M311" s="191"/>
      <c r="N311" s="191"/>
      <c r="O311" s="191"/>
      <c r="P311" s="191"/>
      <c r="Q311" s="191"/>
      <c r="R311" s="191"/>
      <c r="S311" s="191"/>
      <c r="T311" s="191"/>
      <c r="U311" s="191"/>
      <c r="V311" s="191"/>
      <c r="W311" s="191"/>
      <c r="X311" s="189"/>
      <c r="Y311" s="145"/>
      <c r="Z311" s="145"/>
      <c r="AA311" s="145"/>
      <c r="AB311" s="145"/>
      <c r="AQ311" s="177"/>
      <c r="AR311" s="148"/>
      <c r="AS311" s="177"/>
      <c r="AT311" s="78"/>
    </row>
    <row r="312" spans="3:46" s="141" customFormat="1" x14ac:dyDescent="0.2">
      <c r="C312" s="191"/>
      <c r="D312" s="191" t="s">
        <v>565</v>
      </c>
      <c r="E312" s="191"/>
      <c r="F312" s="191"/>
      <c r="G312" s="191"/>
      <c r="H312" s="191"/>
      <c r="I312" s="192"/>
      <c r="J312" s="191"/>
      <c r="K312" s="191"/>
      <c r="L312" s="191"/>
      <c r="M312" s="191"/>
      <c r="N312" s="191"/>
      <c r="O312" s="191"/>
      <c r="P312" s="191"/>
      <c r="Q312" s="191"/>
      <c r="R312" s="191"/>
      <c r="S312" s="191"/>
      <c r="T312" s="191"/>
      <c r="U312" s="191"/>
      <c r="V312" s="191"/>
      <c r="W312" s="191"/>
      <c r="X312" s="189"/>
      <c r="Y312" s="145"/>
      <c r="Z312" s="145"/>
      <c r="AA312" s="145"/>
      <c r="AB312" s="145"/>
      <c r="AQ312" s="177"/>
      <c r="AR312" s="148"/>
      <c r="AS312" s="177"/>
      <c r="AT312" s="78"/>
    </row>
    <row r="313" spans="3:46" s="141" customFormat="1" x14ac:dyDescent="0.2">
      <c r="C313" s="191"/>
      <c r="D313" s="191" t="s">
        <v>578</v>
      </c>
      <c r="E313" s="191"/>
      <c r="F313" s="191"/>
      <c r="G313" s="191"/>
      <c r="H313" s="191"/>
      <c r="I313" s="192"/>
      <c r="J313" s="191"/>
      <c r="K313" s="191"/>
      <c r="L313" s="191"/>
      <c r="M313" s="191"/>
      <c r="N313" s="191"/>
      <c r="O313" s="191"/>
      <c r="P313" s="191"/>
      <c r="Q313" s="191"/>
      <c r="R313" s="191"/>
      <c r="S313" s="191"/>
      <c r="T313" s="191"/>
      <c r="U313" s="191"/>
      <c r="V313" s="191"/>
      <c r="W313" s="191"/>
      <c r="X313" s="189"/>
      <c r="Y313" s="145"/>
      <c r="Z313" s="145"/>
      <c r="AA313" s="145"/>
      <c r="AB313" s="145"/>
      <c r="AQ313" s="177"/>
      <c r="AR313" s="148"/>
      <c r="AS313" s="177"/>
      <c r="AT313" s="78"/>
    </row>
    <row r="314" spans="3:46" s="141" customFormat="1" x14ac:dyDescent="0.2">
      <c r="C314" s="191"/>
      <c r="D314" s="191"/>
      <c r="E314" s="191"/>
      <c r="F314" s="191"/>
      <c r="G314" s="191"/>
      <c r="H314" s="191"/>
      <c r="I314" s="192"/>
      <c r="J314" s="191"/>
      <c r="K314" s="191"/>
      <c r="L314" s="191"/>
      <c r="M314" s="191"/>
      <c r="N314" s="191"/>
      <c r="O314" s="191"/>
      <c r="P314" s="191"/>
      <c r="Q314" s="191"/>
      <c r="R314" s="191"/>
      <c r="S314" s="191"/>
      <c r="T314" s="191"/>
      <c r="U314" s="191"/>
      <c r="V314" s="191"/>
      <c r="W314" s="191"/>
      <c r="X314" s="189"/>
      <c r="Y314" s="145"/>
      <c r="Z314" s="145"/>
      <c r="AA314" s="145"/>
      <c r="AB314" s="145"/>
      <c r="AQ314" s="177"/>
      <c r="AR314" s="148"/>
      <c r="AS314" s="177"/>
      <c r="AT314" s="78"/>
    </row>
    <row r="315" spans="3:46" s="141" customFormat="1" x14ac:dyDescent="0.2">
      <c r="C315" s="191"/>
      <c r="D315" s="191" t="s">
        <v>579</v>
      </c>
      <c r="E315" s="191"/>
      <c r="F315" s="191"/>
      <c r="G315" s="191"/>
      <c r="H315" s="191"/>
      <c r="I315" s="192"/>
      <c r="J315" s="191"/>
      <c r="K315" s="191"/>
      <c r="L315" s="191"/>
      <c r="M315" s="191"/>
      <c r="N315" s="191"/>
      <c r="O315" s="191"/>
      <c r="P315" s="191"/>
      <c r="Q315" s="191"/>
      <c r="R315" s="191"/>
      <c r="S315" s="191"/>
      <c r="T315" s="191"/>
      <c r="U315" s="191"/>
      <c r="V315" s="191"/>
      <c r="W315" s="191"/>
      <c r="X315" s="189"/>
      <c r="Y315" s="145"/>
      <c r="Z315" s="145"/>
      <c r="AA315" s="145"/>
      <c r="AB315" s="145"/>
      <c r="AQ315" s="177"/>
      <c r="AR315" s="148"/>
      <c r="AS315" s="177"/>
      <c r="AT315" s="78"/>
    </row>
    <row r="316" spans="3:46" s="141" customFormat="1" ht="31.95" customHeight="1" x14ac:dyDescent="0.2">
      <c r="C316" s="191"/>
      <c r="D316" s="239" t="s">
        <v>580</v>
      </c>
      <c r="E316" s="239"/>
      <c r="F316" s="239"/>
      <c r="G316" s="239"/>
      <c r="H316" s="239"/>
      <c r="I316" s="239"/>
      <c r="J316" s="239"/>
      <c r="K316" s="239"/>
      <c r="L316" s="239"/>
      <c r="M316" s="239"/>
      <c r="N316" s="239"/>
      <c r="O316" s="239"/>
      <c r="P316" s="239"/>
      <c r="Q316" s="239"/>
      <c r="R316" s="239"/>
      <c r="S316" s="239"/>
      <c r="T316" s="239"/>
      <c r="U316" s="239"/>
      <c r="V316" s="239"/>
      <c r="W316" s="239"/>
      <c r="X316" s="189"/>
      <c r="Y316" s="145"/>
      <c r="Z316" s="145"/>
      <c r="AA316" s="145"/>
      <c r="AB316" s="145"/>
      <c r="AQ316" s="177"/>
      <c r="AR316" s="148"/>
      <c r="AS316" s="177"/>
      <c r="AT316" s="78"/>
    </row>
    <row r="317" spans="3:46" s="141" customFormat="1" x14ac:dyDescent="0.2">
      <c r="C317" s="191"/>
      <c r="D317" s="191"/>
      <c r="E317" s="191"/>
      <c r="F317" s="191"/>
      <c r="G317" s="191"/>
      <c r="H317" s="191"/>
      <c r="I317" s="192"/>
      <c r="J317" s="191"/>
      <c r="K317" s="191"/>
      <c r="L317" s="191"/>
      <c r="M317" s="191"/>
      <c r="N317" s="191"/>
      <c r="O317" s="191"/>
      <c r="P317" s="191"/>
      <c r="Q317" s="191"/>
      <c r="R317" s="191"/>
      <c r="S317" s="191"/>
      <c r="T317" s="191"/>
      <c r="U317" s="191"/>
      <c r="V317" s="191"/>
      <c r="W317" s="191"/>
      <c r="X317" s="189"/>
      <c r="Y317" s="145"/>
      <c r="Z317" s="145"/>
      <c r="AA317" s="145"/>
      <c r="AB317" s="145"/>
      <c r="AQ317" s="177"/>
      <c r="AR317" s="148"/>
      <c r="AS317" s="177"/>
      <c r="AT317" s="78"/>
    </row>
    <row r="318" spans="3:46" x14ac:dyDescent="0.2">
      <c r="C318" s="158"/>
      <c r="D318" s="158" t="s">
        <v>80</v>
      </c>
      <c r="E318" s="156"/>
      <c r="F318" s="158"/>
      <c r="G318" s="158"/>
      <c r="H318" s="158"/>
      <c r="I318" s="192"/>
      <c r="J318" s="158"/>
      <c r="K318" s="158"/>
      <c r="L318" s="158"/>
      <c r="M318" s="158"/>
      <c r="N318" s="158"/>
      <c r="O318" s="158"/>
      <c r="P318" s="158"/>
      <c r="Q318" s="158"/>
      <c r="R318" s="158"/>
      <c r="S318" s="158"/>
      <c r="T318" s="158"/>
      <c r="U318" s="158"/>
      <c r="V318" s="158"/>
      <c r="W318" s="158"/>
      <c r="X318" s="189"/>
      <c r="AQ318" s="148"/>
      <c r="AR318" s="148"/>
      <c r="AS318" s="148"/>
    </row>
    <row r="319" spans="3:46" x14ac:dyDescent="0.2">
      <c r="C319" s="158"/>
      <c r="D319" s="159" t="s">
        <v>81</v>
      </c>
      <c r="E319" s="156"/>
      <c r="F319" s="158"/>
      <c r="G319" s="158"/>
      <c r="H319" s="158"/>
      <c r="I319" s="192"/>
      <c r="J319" s="158"/>
      <c r="K319" s="158"/>
      <c r="L319" s="158"/>
      <c r="M319" s="158"/>
      <c r="N319" s="158"/>
      <c r="O319" s="158"/>
      <c r="P319" s="158"/>
      <c r="Q319" s="158"/>
      <c r="R319" s="158"/>
      <c r="S319" s="158"/>
      <c r="T319" s="158"/>
      <c r="U319" s="158"/>
      <c r="V319" s="158"/>
      <c r="W319" s="158"/>
      <c r="X319" s="189"/>
      <c r="AQ319" s="148"/>
      <c r="AR319" s="148"/>
      <c r="AS319" s="148"/>
    </row>
    <row r="320" spans="3:46" x14ac:dyDescent="0.2">
      <c r="C320" s="158"/>
      <c r="D320" s="158"/>
      <c r="E320" s="156"/>
      <c r="F320" s="158"/>
      <c r="G320" s="158"/>
      <c r="H320" s="158"/>
      <c r="I320" s="192"/>
      <c r="J320" s="158"/>
      <c r="K320" s="158"/>
      <c r="L320" s="158"/>
      <c r="M320" s="158"/>
      <c r="N320" s="158"/>
      <c r="O320" s="158"/>
      <c r="P320" s="158"/>
      <c r="Q320" s="158"/>
      <c r="R320" s="158"/>
      <c r="S320" s="158"/>
      <c r="T320" s="158"/>
      <c r="U320" s="158"/>
      <c r="V320" s="158"/>
      <c r="W320" s="158"/>
      <c r="X320" s="189"/>
      <c r="AQ320" s="148"/>
      <c r="AR320" s="148"/>
      <c r="AS320" s="148"/>
    </row>
    <row r="321" spans="2:45" ht="27" customHeight="1" x14ac:dyDescent="0.2">
      <c r="C321" s="158"/>
      <c r="D321" s="158"/>
      <c r="E321" s="156"/>
      <c r="F321" s="243" t="s">
        <v>566</v>
      </c>
      <c r="G321" s="243"/>
      <c r="H321" s="243"/>
      <c r="I321" s="193"/>
      <c r="J321" s="194" t="s">
        <v>32</v>
      </c>
      <c r="K321" s="194"/>
      <c r="L321" s="194" t="s">
        <v>316</v>
      </c>
      <c r="M321" s="194"/>
      <c r="N321" s="158"/>
      <c r="O321" s="194"/>
      <c r="P321" s="195" t="s">
        <v>34</v>
      </c>
      <c r="Q321" s="190"/>
      <c r="R321" s="195" t="s">
        <v>35</v>
      </c>
      <c r="S321" s="195"/>
      <c r="T321" s="196" t="s">
        <v>36</v>
      </c>
      <c r="U321" s="190"/>
      <c r="V321" s="195" t="s">
        <v>37</v>
      </c>
      <c r="W321" s="158"/>
      <c r="X321" s="189"/>
      <c r="AQ321" s="148" t="s">
        <v>38</v>
      </c>
      <c r="AR321" s="148" t="s">
        <v>39</v>
      </c>
      <c r="AS321" s="148" t="s">
        <v>82</v>
      </c>
    </row>
    <row r="322" spans="2:45" ht="15.6" thickBot="1" x14ac:dyDescent="0.25">
      <c r="C322" s="158"/>
      <c r="D322" s="158"/>
      <c r="E322" s="156"/>
      <c r="F322" s="191"/>
      <c r="G322" s="191"/>
      <c r="H322" s="191"/>
      <c r="I322" s="192"/>
      <c r="J322" s="191"/>
      <c r="K322" s="191"/>
      <c r="L322" s="191"/>
      <c r="M322" s="191"/>
      <c r="N322" s="158"/>
      <c r="O322" s="191"/>
      <c r="P322" s="191"/>
      <c r="Q322" s="191"/>
      <c r="R322" s="191"/>
      <c r="S322" s="191"/>
      <c r="T322" s="191"/>
      <c r="U322" s="191"/>
      <c r="V322" s="191"/>
      <c r="W322" s="158"/>
      <c r="X322" s="189"/>
      <c r="AQ322" s="148"/>
      <c r="AR322" s="148"/>
      <c r="AS322" s="148"/>
    </row>
    <row r="323" spans="2:45" ht="18" customHeight="1" thickBot="1" x14ac:dyDescent="0.25">
      <c r="C323" s="158"/>
      <c r="D323" s="152" t="s">
        <v>25</v>
      </c>
      <c r="E323" s="197" t="s">
        <v>550</v>
      </c>
      <c r="F323" s="244" t="str">
        <f>IF(中間シート!F281=1,"含まれている",IF(中間シート!F281=2,"含まれていない",""))</f>
        <v/>
      </c>
      <c r="G323" s="245"/>
      <c r="H323" s="246"/>
      <c r="I323" s="192"/>
      <c r="J323" s="128">
        <f>中間シート!J281</f>
        <v>0</v>
      </c>
      <c r="K323" s="127"/>
      <c r="L323" s="128">
        <f>中間シート!K281</f>
        <v>0</v>
      </c>
      <c r="M323" s="127"/>
      <c r="N323" s="158"/>
      <c r="O323" s="127"/>
      <c r="P323" s="198">
        <f>中間シート!D373</f>
        <v>0</v>
      </c>
      <c r="Q323" s="191"/>
      <c r="R323" s="198">
        <f>中間シート!G373</f>
        <v>0</v>
      </c>
      <c r="S323" s="191"/>
      <c r="T323" s="199" t="s">
        <v>40</v>
      </c>
      <c r="U323" s="191"/>
      <c r="V323" s="198">
        <f>中間シート!H373</f>
        <v>0</v>
      </c>
      <c r="W323" s="158"/>
      <c r="X323" s="189" t="str">
        <f ca="1">""&amp;中間シート!X281</f>
        <v>先に研修情報を入力してください。</v>
      </c>
      <c r="AQ323" s="177">
        <v>1</v>
      </c>
      <c r="AR323" s="148">
        <f>IF(F323="含まれている",1,IF(F323="含まれていない",2,0))</f>
        <v>0</v>
      </c>
      <c r="AS323" s="148" t="str">
        <f>IF(中間シート!N281=1,1,中間シート!P187)</f>
        <v/>
      </c>
    </row>
    <row r="324" spans="2:45" ht="5.0999999999999996" customHeight="1" thickBot="1" x14ac:dyDescent="0.25">
      <c r="C324" s="158"/>
      <c r="D324" s="158"/>
      <c r="E324" s="197"/>
      <c r="F324" s="191"/>
      <c r="G324" s="191"/>
      <c r="H324" s="191"/>
      <c r="I324" s="192"/>
      <c r="J324" s="127"/>
      <c r="K324" s="127"/>
      <c r="L324" s="127"/>
      <c r="M324" s="127"/>
      <c r="N324" s="158"/>
      <c r="O324" s="127"/>
      <c r="P324" s="191"/>
      <c r="Q324" s="191"/>
      <c r="R324" s="191"/>
      <c r="S324" s="191"/>
      <c r="T324" s="191"/>
      <c r="U324" s="191"/>
      <c r="V324" s="191"/>
      <c r="W324" s="158"/>
      <c r="X324" s="189"/>
      <c r="AQ324" s="177"/>
      <c r="AR324" s="148"/>
      <c r="AS324" s="148"/>
    </row>
    <row r="325" spans="2:45" ht="18" customHeight="1" thickBot="1" x14ac:dyDescent="0.25">
      <c r="C325" s="158"/>
      <c r="D325" s="158"/>
      <c r="E325" s="197" t="s">
        <v>551</v>
      </c>
      <c r="F325" s="244" t="str">
        <f>IF(中間シート!F282=1,"含まれている",IF(中間シート!F282=2,"含まれていない",""))</f>
        <v/>
      </c>
      <c r="G325" s="245"/>
      <c r="H325" s="246"/>
      <c r="I325" s="192"/>
      <c r="J325" s="128">
        <f>中間シート!J282</f>
        <v>0</v>
      </c>
      <c r="K325" s="127"/>
      <c r="L325" s="128">
        <f>中間シート!K282</f>
        <v>0</v>
      </c>
      <c r="M325" s="127"/>
      <c r="N325" s="158"/>
      <c r="O325" s="127"/>
      <c r="P325" s="191"/>
      <c r="Q325" s="191"/>
      <c r="R325" s="191"/>
      <c r="S325" s="191"/>
      <c r="T325" s="191"/>
      <c r="U325" s="191"/>
      <c r="V325" s="191"/>
      <c r="W325" s="158"/>
      <c r="X325" s="189" t="str">
        <f ca="1">""&amp;中間シート!X282</f>
        <v/>
      </c>
      <c r="AQ325" s="177">
        <f>中間シート!E282</f>
        <v>0</v>
      </c>
      <c r="AR325" s="148">
        <f>IF(F325="含まれている",1,IF(F325="含まれていない",2,0))</f>
        <v>0</v>
      </c>
      <c r="AS325" s="148" t="str">
        <f>IF(中間シート!N282=1,1,中間シート!P188)</f>
        <v/>
      </c>
    </row>
    <row r="326" spans="2:45" ht="5.0999999999999996" customHeight="1" thickBot="1" x14ac:dyDescent="0.25">
      <c r="C326" s="158"/>
      <c r="D326" s="158"/>
      <c r="E326" s="197"/>
      <c r="F326" s="191"/>
      <c r="G326" s="191"/>
      <c r="H326" s="191"/>
      <c r="I326" s="192"/>
      <c r="J326" s="127"/>
      <c r="K326" s="127"/>
      <c r="L326" s="127"/>
      <c r="M326" s="127"/>
      <c r="N326" s="158"/>
      <c r="O326" s="127"/>
      <c r="P326" s="191"/>
      <c r="Q326" s="191"/>
      <c r="R326" s="191"/>
      <c r="S326" s="191"/>
      <c r="T326" s="191"/>
      <c r="U326" s="191"/>
      <c r="V326" s="191"/>
      <c r="W326" s="158"/>
      <c r="X326" s="189"/>
      <c r="AQ326" s="177"/>
      <c r="AR326" s="148"/>
      <c r="AS326" s="148"/>
    </row>
    <row r="327" spans="2:45" ht="18" customHeight="1" thickBot="1" x14ac:dyDescent="0.25">
      <c r="C327" s="158"/>
      <c r="D327" s="158"/>
      <c r="E327" s="197" t="s">
        <v>552</v>
      </c>
      <c r="F327" s="244" t="str">
        <f>IF(中間シート!F283=1,"含まれている",IF(中間シート!F283=2,"含まれていない",""))</f>
        <v/>
      </c>
      <c r="G327" s="245"/>
      <c r="H327" s="246"/>
      <c r="I327" s="192"/>
      <c r="J327" s="128">
        <f>中間シート!J283</f>
        <v>0</v>
      </c>
      <c r="K327" s="127"/>
      <c r="L327" s="128">
        <f>中間シート!K283</f>
        <v>0</v>
      </c>
      <c r="M327" s="127"/>
      <c r="N327" s="158"/>
      <c r="O327" s="127"/>
      <c r="P327" s="191"/>
      <c r="Q327" s="191"/>
      <c r="R327" s="191"/>
      <c r="S327" s="191"/>
      <c r="T327" s="191"/>
      <c r="U327" s="191"/>
      <c r="V327" s="191"/>
      <c r="W327" s="158"/>
      <c r="X327" s="189" t="str">
        <f ca="1">""&amp;中間シート!X283</f>
        <v/>
      </c>
      <c r="AQ327" s="177">
        <f>中間シート!E283</f>
        <v>0</v>
      </c>
      <c r="AR327" s="148">
        <f>IF(F327="含まれている",1,IF(F327="含まれていない",2,0))</f>
        <v>0</v>
      </c>
      <c r="AS327" s="148" t="str">
        <f>IF(中間シート!N283=1,1,中間シート!P189)</f>
        <v/>
      </c>
    </row>
    <row r="328" spans="2:45" x14ac:dyDescent="0.2">
      <c r="C328" s="158"/>
      <c r="D328" s="158"/>
      <c r="E328" s="197"/>
      <c r="F328" s="127"/>
      <c r="G328" s="127"/>
      <c r="H328" s="127"/>
      <c r="I328" s="127"/>
      <c r="J328" s="127"/>
      <c r="K328" s="127"/>
      <c r="L328" s="127"/>
      <c r="M328" s="191"/>
      <c r="N328" s="191"/>
      <c r="O328" s="191"/>
      <c r="P328" s="127"/>
      <c r="Q328" s="191"/>
      <c r="R328" s="191"/>
      <c r="S328" s="191"/>
      <c r="T328" s="191"/>
      <c r="U328" s="191"/>
      <c r="V328" s="191"/>
      <c r="W328" s="158"/>
      <c r="X328" s="189"/>
      <c r="AQ328" s="148"/>
      <c r="AR328" s="148"/>
      <c r="AS328" s="148"/>
    </row>
    <row r="329" spans="2:45" ht="15.6" thickBot="1" x14ac:dyDescent="0.25">
      <c r="C329" s="200"/>
      <c r="D329" s="200"/>
      <c r="E329" s="201"/>
      <c r="F329" s="200"/>
      <c r="G329" s="200"/>
      <c r="H329" s="200"/>
      <c r="I329" s="202"/>
      <c r="J329" s="200"/>
      <c r="K329" s="200"/>
      <c r="L329" s="200"/>
      <c r="M329" s="200"/>
      <c r="N329" s="203" t="s">
        <v>79</v>
      </c>
      <c r="O329" s="200"/>
      <c r="P329" s="200"/>
      <c r="Q329" s="200"/>
      <c r="R329" s="200"/>
      <c r="S329" s="200"/>
      <c r="T329" s="200"/>
      <c r="U329" s="200"/>
      <c r="V329" s="200"/>
      <c r="W329" s="200"/>
      <c r="X329" s="189"/>
      <c r="AQ329" s="148"/>
      <c r="AR329" s="148"/>
      <c r="AS329" s="148"/>
    </row>
    <row r="330" spans="2:45" ht="18" customHeight="1" thickBot="1" x14ac:dyDescent="0.25">
      <c r="B330" s="145">
        <v>2</v>
      </c>
      <c r="C330" s="200"/>
      <c r="D330" s="204" t="s">
        <v>48</v>
      </c>
      <c r="E330" s="201" t="s">
        <v>550</v>
      </c>
      <c r="F330" s="275"/>
      <c r="G330" s="276"/>
      <c r="H330" s="277"/>
      <c r="I330" s="202"/>
      <c r="J330" s="117"/>
      <c r="K330" s="205"/>
      <c r="L330" s="117"/>
      <c r="M330" s="205"/>
      <c r="N330" s="203" t="s">
        <v>79</v>
      </c>
      <c r="O330" s="205"/>
      <c r="P330" s="198">
        <f>中間シート!D374</f>
        <v>0</v>
      </c>
      <c r="Q330" s="203"/>
      <c r="R330" s="198">
        <f>中間シート!G374</f>
        <v>0</v>
      </c>
      <c r="S330" s="203"/>
      <c r="T330" s="206" t="s">
        <v>40</v>
      </c>
      <c r="U330" s="203"/>
      <c r="V330" s="198">
        <f>中間シート!H374</f>
        <v>0</v>
      </c>
      <c r="W330" s="200"/>
      <c r="X330" s="189" t="str">
        <f>IF($B330&lt;=入力シート!$F$22,""&amp;中間シート!X284,"")</f>
        <v/>
      </c>
      <c r="AQ330" s="177">
        <f>中間シート!E284</f>
        <v>0</v>
      </c>
      <c r="AR330" s="148">
        <f>IF(F330="含まれている",1,IF(F330="含まれていない",2,0))</f>
        <v>0</v>
      </c>
      <c r="AS330" s="148" t="str">
        <f>IF(中間シート!N284=1,1,中間シート!P190)</f>
        <v/>
      </c>
    </row>
    <row r="331" spans="2:45" ht="5.0999999999999996" customHeight="1" thickBot="1" x14ac:dyDescent="0.25">
      <c r="C331" s="200"/>
      <c r="D331" s="200"/>
      <c r="E331" s="201"/>
      <c r="F331" s="203"/>
      <c r="G331" s="203"/>
      <c r="H331" s="203"/>
      <c r="I331" s="202"/>
      <c r="J331" s="205"/>
      <c r="K331" s="205"/>
      <c r="L331" s="205"/>
      <c r="M331" s="205"/>
      <c r="N331" s="203" t="s">
        <v>79</v>
      </c>
      <c r="O331" s="205"/>
      <c r="P331" s="203" t="s">
        <v>79</v>
      </c>
      <c r="Q331" s="203"/>
      <c r="R331" s="203" t="s">
        <v>79</v>
      </c>
      <c r="S331" s="203"/>
      <c r="T331" s="203"/>
      <c r="U331" s="203"/>
      <c r="V331" s="203" t="s">
        <v>79</v>
      </c>
      <c r="W331" s="200"/>
      <c r="X331" s="189" t="s">
        <v>79</v>
      </c>
      <c r="AQ331" s="148" t="s">
        <v>79</v>
      </c>
      <c r="AR331" s="148"/>
      <c r="AS331" s="148"/>
    </row>
    <row r="332" spans="2:45" ht="18" customHeight="1" thickBot="1" x14ac:dyDescent="0.25">
      <c r="B332" s="145">
        <v>2</v>
      </c>
      <c r="C332" s="200"/>
      <c r="D332" s="200"/>
      <c r="E332" s="201" t="s">
        <v>551</v>
      </c>
      <c r="F332" s="275"/>
      <c r="G332" s="276"/>
      <c r="H332" s="277"/>
      <c r="I332" s="202"/>
      <c r="J332" s="117"/>
      <c r="K332" s="205"/>
      <c r="L332" s="117"/>
      <c r="M332" s="205"/>
      <c r="N332" s="203" t="s">
        <v>79</v>
      </c>
      <c r="O332" s="205"/>
      <c r="P332" s="203" t="s">
        <v>79</v>
      </c>
      <c r="Q332" s="203"/>
      <c r="R332" s="203" t="s">
        <v>79</v>
      </c>
      <c r="S332" s="203"/>
      <c r="T332" s="203"/>
      <c r="U332" s="203"/>
      <c r="V332" s="207"/>
      <c r="W332" s="200"/>
      <c r="X332" s="189" t="str">
        <f>IF($B332&lt;=入力シート!$F$22,""&amp;中間シート!X285,"")</f>
        <v/>
      </c>
      <c r="AQ332" s="177">
        <f>中間シート!E285</f>
        <v>0</v>
      </c>
      <c r="AR332" s="148">
        <f>IF(F332="含まれている",1,IF(F332="含まれていない",2,0))</f>
        <v>0</v>
      </c>
      <c r="AS332" s="148" t="str">
        <f>IF(中間シート!N285=1,1,中間シート!P191)</f>
        <v/>
      </c>
    </row>
    <row r="333" spans="2:45" ht="5.0999999999999996" customHeight="1" thickBot="1" x14ac:dyDescent="0.25">
      <c r="C333" s="200"/>
      <c r="D333" s="200"/>
      <c r="E333" s="201"/>
      <c r="F333" s="203"/>
      <c r="G333" s="203"/>
      <c r="H333" s="203"/>
      <c r="I333" s="202"/>
      <c r="J333" s="205"/>
      <c r="K333" s="205"/>
      <c r="L333" s="205"/>
      <c r="M333" s="205"/>
      <c r="N333" s="203" t="s">
        <v>79</v>
      </c>
      <c r="O333" s="205"/>
      <c r="P333" s="203" t="s">
        <v>79</v>
      </c>
      <c r="Q333" s="203"/>
      <c r="R333" s="203" t="s">
        <v>79</v>
      </c>
      <c r="S333" s="203"/>
      <c r="T333" s="203"/>
      <c r="U333" s="203"/>
      <c r="V333" s="203" t="s">
        <v>79</v>
      </c>
      <c r="W333" s="200"/>
      <c r="X333" s="189" t="s">
        <v>79</v>
      </c>
      <c r="AQ333" s="177" t="s">
        <v>79</v>
      </c>
      <c r="AR333" s="148"/>
      <c r="AS333" s="148"/>
    </row>
    <row r="334" spans="2:45" ht="18" customHeight="1" thickBot="1" x14ac:dyDescent="0.25">
      <c r="B334" s="145">
        <v>2</v>
      </c>
      <c r="C334" s="200"/>
      <c r="D334" s="200"/>
      <c r="E334" s="201" t="s">
        <v>552</v>
      </c>
      <c r="F334" s="275"/>
      <c r="G334" s="276"/>
      <c r="H334" s="277"/>
      <c r="I334" s="202"/>
      <c r="J334" s="117"/>
      <c r="K334" s="205"/>
      <c r="L334" s="117"/>
      <c r="M334" s="205"/>
      <c r="N334" s="203" t="s">
        <v>79</v>
      </c>
      <c r="O334" s="205"/>
      <c r="P334" s="203" t="s">
        <v>79</v>
      </c>
      <c r="Q334" s="203"/>
      <c r="R334" s="203" t="s">
        <v>79</v>
      </c>
      <c r="S334" s="203"/>
      <c r="T334" s="203"/>
      <c r="U334" s="203"/>
      <c r="V334" s="203" t="s">
        <v>79</v>
      </c>
      <c r="W334" s="200"/>
      <c r="X334" s="189" t="str">
        <f>IF($B334&lt;=入力シート!$F$22,""&amp;中間シート!X286,"")</f>
        <v/>
      </c>
      <c r="AQ334" s="177">
        <f>中間シート!E286</f>
        <v>0</v>
      </c>
      <c r="AR334" s="148">
        <f>IF(F334="含まれている",1,IF(F334="含まれていない",2,0))</f>
        <v>0</v>
      </c>
      <c r="AS334" s="148" t="str">
        <f>IF(中間シート!N286=1,1,中間シート!P192)</f>
        <v/>
      </c>
    </row>
    <row r="335" spans="2:45" x14ac:dyDescent="0.2">
      <c r="C335" s="200"/>
      <c r="D335" s="200"/>
      <c r="E335" s="201"/>
      <c r="F335" s="205"/>
      <c r="G335" s="205"/>
      <c r="H335" s="205"/>
      <c r="I335" s="205"/>
      <c r="J335" s="205"/>
      <c r="K335" s="205"/>
      <c r="L335" s="205"/>
      <c r="M335" s="203"/>
      <c r="N335" s="203"/>
      <c r="O335" s="203"/>
      <c r="P335" s="205" t="s">
        <v>79</v>
      </c>
      <c r="Q335" s="203"/>
      <c r="R335" s="203" t="s">
        <v>79</v>
      </c>
      <c r="S335" s="203"/>
      <c r="T335" s="203"/>
      <c r="U335" s="203"/>
      <c r="V335" s="203" t="s">
        <v>79</v>
      </c>
      <c r="W335" s="200"/>
      <c r="X335" s="189" t="s">
        <v>79</v>
      </c>
      <c r="AQ335" s="148" t="s">
        <v>79</v>
      </c>
      <c r="AR335" s="148"/>
      <c r="AS335" s="148"/>
    </row>
    <row r="336" spans="2:45" ht="15.6" thickBot="1" x14ac:dyDescent="0.25">
      <c r="C336" s="158"/>
      <c r="D336" s="158"/>
      <c r="E336" s="197"/>
      <c r="F336" s="191"/>
      <c r="G336" s="191"/>
      <c r="H336" s="191"/>
      <c r="I336" s="192"/>
      <c r="J336" s="191"/>
      <c r="K336" s="191"/>
      <c r="L336" s="191"/>
      <c r="M336" s="191"/>
      <c r="N336" s="191"/>
      <c r="O336" s="191"/>
      <c r="P336" s="191" t="s">
        <v>79</v>
      </c>
      <c r="Q336" s="191"/>
      <c r="R336" s="191" t="s">
        <v>79</v>
      </c>
      <c r="S336" s="191"/>
      <c r="T336" s="191"/>
      <c r="U336" s="191"/>
      <c r="V336" s="191" t="s">
        <v>79</v>
      </c>
      <c r="W336" s="158"/>
      <c r="X336" s="189" t="s">
        <v>79</v>
      </c>
      <c r="AQ336" s="148" t="s">
        <v>79</v>
      </c>
      <c r="AR336" s="148"/>
      <c r="AS336" s="148"/>
    </row>
    <row r="337" spans="2:45" ht="18" customHeight="1" thickBot="1" x14ac:dyDescent="0.25">
      <c r="B337" s="145">
        <v>3</v>
      </c>
      <c r="C337" s="158"/>
      <c r="D337" s="152" t="s">
        <v>49</v>
      </c>
      <c r="E337" s="197" t="s">
        <v>550</v>
      </c>
      <c r="F337" s="275"/>
      <c r="G337" s="276"/>
      <c r="H337" s="277"/>
      <c r="I337" s="192"/>
      <c r="J337" s="117"/>
      <c r="K337" s="127"/>
      <c r="L337" s="117"/>
      <c r="M337" s="127"/>
      <c r="N337" s="158"/>
      <c r="O337" s="127"/>
      <c r="P337" s="198">
        <f>中間シート!D375</f>
        <v>0</v>
      </c>
      <c r="Q337" s="191"/>
      <c r="R337" s="198">
        <f>中間シート!G375</f>
        <v>0</v>
      </c>
      <c r="S337" s="191"/>
      <c r="T337" s="199" t="s">
        <v>40</v>
      </c>
      <c r="U337" s="191"/>
      <c r="V337" s="198">
        <f>中間シート!H375</f>
        <v>0</v>
      </c>
      <c r="W337" s="158"/>
      <c r="X337" s="189" t="str">
        <f>IF($B337&lt;=入力シート!$F$22,""&amp;中間シート!X287,"")</f>
        <v/>
      </c>
      <c r="AQ337" s="177">
        <f>中間シート!E287</f>
        <v>0</v>
      </c>
      <c r="AR337" s="148">
        <f>IF(F337="含まれている",1,IF(F337="含まれていない",2,0))</f>
        <v>0</v>
      </c>
      <c r="AS337" s="148" t="str">
        <f>IF(中間シート!N287=1,1,中間シート!P193)</f>
        <v/>
      </c>
    </row>
    <row r="338" spans="2:45" ht="5.0999999999999996" customHeight="1" thickBot="1" x14ac:dyDescent="0.25">
      <c r="C338" s="158"/>
      <c r="D338" s="158"/>
      <c r="E338" s="197"/>
      <c r="F338" s="191"/>
      <c r="G338" s="191"/>
      <c r="H338" s="191"/>
      <c r="I338" s="192"/>
      <c r="J338" s="127"/>
      <c r="K338" s="127"/>
      <c r="L338" s="127"/>
      <c r="M338" s="127"/>
      <c r="N338" s="158"/>
      <c r="O338" s="127"/>
      <c r="P338" s="191" t="s">
        <v>79</v>
      </c>
      <c r="Q338" s="191"/>
      <c r="R338" s="191" t="s">
        <v>79</v>
      </c>
      <c r="S338" s="191"/>
      <c r="T338" s="191"/>
      <c r="U338" s="191"/>
      <c r="V338" s="191" t="s">
        <v>79</v>
      </c>
      <c r="W338" s="158"/>
      <c r="X338" s="189" t="s">
        <v>79</v>
      </c>
      <c r="AQ338" s="148" t="s">
        <v>79</v>
      </c>
      <c r="AR338" s="148"/>
      <c r="AS338" s="148"/>
    </row>
    <row r="339" spans="2:45" ht="18" customHeight="1" thickBot="1" x14ac:dyDescent="0.25">
      <c r="B339" s="145">
        <v>3</v>
      </c>
      <c r="C339" s="158"/>
      <c r="D339" s="158"/>
      <c r="E339" s="197" t="s">
        <v>551</v>
      </c>
      <c r="F339" s="275"/>
      <c r="G339" s="276"/>
      <c r="H339" s="277"/>
      <c r="I339" s="192"/>
      <c r="J339" s="117"/>
      <c r="K339" s="127"/>
      <c r="L339" s="117"/>
      <c r="M339" s="127"/>
      <c r="N339" s="158"/>
      <c r="O339" s="127"/>
      <c r="P339" s="191" t="s">
        <v>79</v>
      </c>
      <c r="Q339" s="191"/>
      <c r="R339" s="191" t="s">
        <v>79</v>
      </c>
      <c r="S339" s="191"/>
      <c r="T339" s="191"/>
      <c r="U339" s="191"/>
      <c r="V339" s="191" t="s">
        <v>79</v>
      </c>
      <c r="W339" s="158"/>
      <c r="X339" s="189" t="str">
        <f>IF($B339&lt;=入力シート!$F$22,""&amp;中間シート!X288,"")</f>
        <v/>
      </c>
      <c r="AQ339" s="177">
        <f>中間シート!E288</f>
        <v>0</v>
      </c>
      <c r="AR339" s="148">
        <f>IF(F339="含まれている",1,IF(F339="含まれていない",2,0))</f>
        <v>0</v>
      </c>
      <c r="AS339" s="148" t="str">
        <f>IF(中間シート!N288=1,1,中間シート!P194)</f>
        <v/>
      </c>
    </row>
    <row r="340" spans="2:45" ht="5.0999999999999996" customHeight="1" thickBot="1" x14ac:dyDescent="0.25">
      <c r="C340" s="158"/>
      <c r="D340" s="158"/>
      <c r="E340" s="197"/>
      <c r="F340" s="191"/>
      <c r="G340" s="191"/>
      <c r="H340" s="191"/>
      <c r="I340" s="192"/>
      <c r="J340" s="127"/>
      <c r="K340" s="127"/>
      <c r="L340" s="127"/>
      <c r="M340" s="127"/>
      <c r="N340" s="158"/>
      <c r="O340" s="127"/>
      <c r="P340" s="191" t="s">
        <v>79</v>
      </c>
      <c r="Q340" s="191"/>
      <c r="R340" s="191" t="s">
        <v>79</v>
      </c>
      <c r="S340" s="191"/>
      <c r="T340" s="191"/>
      <c r="U340" s="191"/>
      <c r="V340" s="191" t="s">
        <v>79</v>
      </c>
      <c r="W340" s="158"/>
      <c r="X340" s="189" t="s">
        <v>79</v>
      </c>
      <c r="AQ340" s="177" t="s">
        <v>79</v>
      </c>
      <c r="AR340" s="148"/>
      <c r="AS340" s="148"/>
    </row>
    <row r="341" spans="2:45" ht="18" customHeight="1" thickBot="1" x14ac:dyDescent="0.25">
      <c r="B341" s="145">
        <v>3</v>
      </c>
      <c r="C341" s="158"/>
      <c r="D341" s="158"/>
      <c r="E341" s="197" t="s">
        <v>552</v>
      </c>
      <c r="F341" s="275"/>
      <c r="G341" s="276"/>
      <c r="H341" s="277"/>
      <c r="I341" s="192"/>
      <c r="J341" s="117"/>
      <c r="K341" s="127"/>
      <c r="L341" s="117"/>
      <c r="M341" s="127"/>
      <c r="N341" s="158"/>
      <c r="O341" s="127"/>
      <c r="P341" s="191" t="s">
        <v>79</v>
      </c>
      <c r="Q341" s="191"/>
      <c r="R341" s="191" t="s">
        <v>79</v>
      </c>
      <c r="S341" s="191"/>
      <c r="T341" s="191"/>
      <c r="U341" s="191"/>
      <c r="V341" s="191" t="s">
        <v>79</v>
      </c>
      <c r="W341" s="158"/>
      <c r="X341" s="189" t="str">
        <f>IF($B341&lt;=入力シート!$F$22,""&amp;中間シート!X289,"")</f>
        <v/>
      </c>
      <c r="AQ341" s="177">
        <f>中間シート!E289</f>
        <v>0</v>
      </c>
      <c r="AR341" s="148">
        <f>IF(F341="含まれている",1,IF(F341="含まれていない",2,0))</f>
        <v>0</v>
      </c>
      <c r="AS341" s="148" t="str">
        <f>IF(中間シート!N289=1,1,中間シート!P195)</f>
        <v/>
      </c>
    </row>
    <row r="342" spans="2:45" x14ac:dyDescent="0.2">
      <c r="C342" s="158"/>
      <c r="D342" s="158"/>
      <c r="E342" s="153"/>
      <c r="F342" s="127"/>
      <c r="G342" s="127"/>
      <c r="H342" s="127"/>
      <c r="I342" s="127"/>
      <c r="J342" s="127"/>
      <c r="K342" s="127"/>
      <c r="L342" s="127"/>
      <c r="M342" s="191"/>
      <c r="N342" s="191"/>
      <c r="O342" s="191"/>
      <c r="P342" s="127" t="s">
        <v>79</v>
      </c>
      <c r="Q342" s="191"/>
      <c r="R342" s="191" t="s">
        <v>79</v>
      </c>
      <c r="S342" s="191"/>
      <c r="T342" s="191"/>
      <c r="U342" s="191"/>
      <c r="V342" s="191" t="s">
        <v>79</v>
      </c>
      <c r="W342" s="158"/>
      <c r="X342" s="189" t="s">
        <v>79</v>
      </c>
      <c r="AQ342" s="148" t="s">
        <v>79</v>
      </c>
      <c r="AR342" s="148"/>
      <c r="AS342" s="148"/>
    </row>
    <row r="343" spans="2:45" ht="15.6" thickBot="1" x14ac:dyDescent="0.25">
      <c r="C343" s="200"/>
      <c r="D343" s="200"/>
      <c r="E343" s="201"/>
      <c r="F343" s="200"/>
      <c r="G343" s="200"/>
      <c r="H343" s="200"/>
      <c r="I343" s="202"/>
      <c r="J343" s="200"/>
      <c r="K343" s="200"/>
      <c r="L343" s="200"/>
      <c r="M343" s="200"/>
      <c r="N343" s="200"/>
      <c r="O343" s="200"/>
      <c r="P343" s="200" t="s">
        <v>79</v>
      </c>
      <c r="Q343" s="200"/>
      <c r="R343" s="200" t="s">
        <v>79</v>
      </c>
      <c r="S343" s="200"/>
      <c r="T343" s="200"/>
      <c r="U343" s="200"/>
      <c r="V343" s="200" t="s">
        <v>79</v>
      </c>
      <c r="W343" s="200"/>
      <c r="X343" s="189" t="s">
        <v>79</v>
      </c>
      <c r="AQ343" s="148" t="s">
        <v>79</v>
      </c>
      <c r="AR343" s="148"/>
      <c r="AS343" s="148"/>
    </row>
    <row r="344" spans="2:45" ht="18" customHeight="1" thickBot="1" x14ac:dyDescent="0.25">
      <c r="B344" s="145">
        <v>4</v>
      </c>
      <c r="C344" s="200"/>
      <c r="D344" s="204" t="s">
        <v>50</v>
      </c>
      <c r="E344" s="201" t="s">
        <v>550</v>
      </c>
      <c r="F344" s="275"/>
      <c r="G344" s="276"/>
      <c r="H344" s="277"/>
      <c r="I344" s="202"/>
      <c r="J344" s="117"/>
      <c r="K344" s="205"/>
      <c r="L344" s="117"/>
      <c r="M344" s="205"/>
      <c r="N344" s="203" t="s">
        <v>79</v>
      </c>
      <c r="O344" s="205"/>
      <c r="P344" s="198">
        <f>中間シート!D376</f>
        <v>0</v>
      </c>
      <c r="Q344" s="203"/>
      <c r="R344" s="198">
        <f>中間シート!G376</f>
        <v>0</v>
      </c>
      <c r="S344" s="203"/>
      <c r="T344" s="206" t="s">
        <v>40</v>
      </c>
      <c r="U344" s="203"/>
      <c r="V344" s="198">
        <f>中間シート!H376</f>
        <v>0</v>
      </c>
      <c r="W344" s="200"/>
      <c r="X344" s="189" t="str">
        <f>IF($B344&lt;=入力シート!$F$22,""&amp;中間シート!X290,"")</f>
        <v/>
      </c>
      <c r="AQ344" s="177">
        <f>中間シート!E290</f>
        <v>0</v>
      </c>
      <c r="AR344" s="148">
        <f>IF(F344="含まれている",1,IF(F344="含まれていない",2,0))</f>
        <v>0</v>
      </c>
      <c r="AS344" s="148" t="str">
        <f>IF(中間シート!N290=1,1,中間シート!P196)</f>
        <v/>
      </c>
    </row>
    <row r="345" spans="2:45" ht="5.0999999999999996" customHeight="1" thickBot="1" x14ac:dyDescent="0.25">
      <c r="C345" s="200"/>
      <c r="D345" s="200"/>
      <c r="E345" s="201"/>
      <c r="F345" s="203"/>
      <c r="G345" s="203"/>
      <c r="H345" s="203"/>
      <c r="I345" s="202"/>
      <c r="J345" s="205"/>
      <c r="K345" s="205"/>
      <c r="L345" s="205"/>
      <c r="M345" s="205"/>
      <c r="N345" s="203" t="s">
        <v>79</v>
      </c>
      <c r="O345" s="205"/>
      <c r="P345" s="203" t="s">
        <v>79</v>
      </c>
      <c r="Q345" s="203"/>
      <c r="R345" s="203" t="s">
        <v>79</v>
      </c>
      <c r="S345" s="203"/>
      <c r="T345" s="203"/>
      <c r="U345" s="203"/>
      <c r="V345" s="203" t="s">
        <v>79</v>
      </c>
      <c r="W345" s="200"/>
      <c r="X345" s="189" t="s">
        <v>79</v>
      </c>
      <c r="AQ345" s="148" t="s">
        <v>79</v>
      </c>
      <c r="AR345" s="148"/>
      <c r="AS345" s="148"/>
    </row>
    <row r="346" spans="2:45" ht="18" customHeight="1" thickBot="1" x14ac:dyDescent="0.25">
      <c r="B346" s="145">
        <v>4</v>
      </c>
      <c r="C346" s="200"/>
      <c r="D346" s="200"/>
      <c r="E346" s="201" t="s">
        <v>551</v>
      </c>
      <c r="F346" s="275"/>
      <c r="G346" s="276"/>
      <c r="H346" s="277"/>
      <c r="I346" s="202"/>
      <c r="J346" s="140"/>
      <c r="K346" s="205"/>
      <c r="L346" s="117"/>
      <c r="M346" s="205"/>
      <c r="N346" s="203" t="s">
        <v>79</v>
      </c>
      <c r="O346" s="205"/>
      <c r="P346" s="203" t="s">
        <v>79</v>
      </c>
      <c r="Q346" s="203"/>
      <c r="R346" s="203" t="s">
        <v>79</v>
      </c>
      <c r="S346" s="203"/>
      <c r="T346" s="203"/>
      <c r="U346" s="203"/>
      <c r="V346" s="203" t="s">
        <v>79</v>
      </c>
      <c r="W346" s="200"/>
      <c r="X346" s="189" t="str">
        <f>IF($B346&lt;=入力シート!$F$22,""&amp;中間シート!X291,"")</f>
        <v/>
      </c>
      <c r="AQ346" s="177">
        <f>中間シート!E291</f>
        <v>0</v>
      </c>
      <c r="AR346" s="148">
        <f>IF(F346="含まれている",1,IF(F346="含まれていない",2,0))</f>
        <v>0</v>
      </c>
      <c r="AS346" s="148" t="str">
        <f>IF(中間シート!N291=1,1,中間シート!P197)</f>
        <v/>
      </c>
    </row>
    <row r="347" spans="2:45" ht="5.0999999999999996" customHeight="1" thickBot="1" x14ac:dyDescent="0.25">
      <c r="C347" s="200"/>
      <c r="D347" s="200"/>
      <c r="E347" s="201"/>
      <c r="F347" s="203"/>
      <c r="G347" s="203"/>
      <c r="H347" s="203"/>
      <c r="I347" s="202"/>
      <c r="J347" s="278"/>
      <c r="K347" s="205"/>
      <c r="L347" s="205"/>
      <c r="M347" s="205"/>
      <c r="N347" s="203" t="s">
        <v>79</v>
      </c>
      <c r="O347" s="205"/>
      <c r="P347" s="203" t="s">
        <v>79</v>
      </c>
      <c r="Q347" s="203"/>
      <c r="R347" s="203" t="s">
        <v>79</v>
      </c>
      <c r="S347" s="203"/>
      <c r="T347" s="203"/>
      <c r="U347" s="203"/>
      <c r="V347" s="203" t="s">
        <v>79</v>
      </c>
      <c r="W347" s="200"/>
      <c r="X347" s="189" t="s">
        <v>79</v>
      </c>
      <c r="AQ347" s="177" t="s">
        <v>79</v>
      </c>
      <c r="AR347" s="148"/>
      <c r="AS347" s="148"/>
    </row>
    <row r="348" spans="2:45" ht="18" customHeight="1" thickBot="1" x14ac:dyDescent="0.25">
      <c r="B348" s="145">
        <v>4</v>
      </c>
      <c r="C348" s="200"/>
      <c r="D348" s="200"/>
      <c r="E348" s="201" t="s">
        <v>552</v>
      </c>
      <c r="F348" s="275"/>
      <c r="G348" s="276"/>
      <c r="H348" s="277"/>
      <c r="I348" s="202"/>
      <c r="J348" s="117"/>
      <c r="K348" s="205"/>
      <c r="L348" s="117"/>
      <c r="M348" s="205"/>
      <c r="N348" s="203" t="s">
        <v>79</v>
      </c>
      <c r="O348" s="205"/>
      <c r="P348" s="203" t="s">
        <v>79</v>
      </c>
      <c r="Q348" s="203"/>
      <c r="R348" s="203" t="s">
        <v>79</v>
      </c>
      <c r="S348" s="203"/>
      <c r="T348" s="203"/>
      <c r="U348" s="203"/>
      <c r="V348" s="203" t="s">
        <v>79</v>
      </c>
      <c r="W348" s="200"/>
      <c r="X348" s="189" t="str">
        <f>IF($B348&lt;=入力シート!$F$22,""&amp;中間シート!X292,"")</f>
        <v/>
      </c>
      <c r="AQ348" s="177">
        <f>中間シート!E292</f>
        <v>0</v>
      </c>
      <c r="AR348" s="148">
        <f>IF(F348="含まれている",1,IF(F348="含まれていない",2,0))</f>
        <v>0</v>
      </c>
      <c r="AS348" s="148" t="str">
        <f>IF(中間シート!N292=1,1,中間シート!P198)</f>
        <v/>
      </c>
    </row>
    <row r="349" spans="2:45" x14ac:dyDescent="0.2">
      <c r="C349" s="200"/>
      <c r="D349" s="200"/>
      <c r="E349" s="201"/>
      <c r="F349" s="205"/>
      <c r="G349" s="205"/>
      <c r="H349" s="205"/>
      <c r="I349" s="205"/>
      <c r="J349" s="205"/>
      <c r="K349" s="205"/>
      <c r="L349" s="205"/>
      <c r="M349" s="203"/>
      <c r="N349" s="203"/>
      <c r="O349" s="203"/>
      <c r="P349" s="205" t="s">
        <v>79</v>
      </c>
      <c r="Q349" s="203"/>
      <c r="R349" s="203" t="s">
        <v>79</v>
      </c>
      <c r="S349" s="203"/>
      <c r="T349" s="203"/>
      <c r="U349" s="203"/>
      <c r="V349" s="203" t="s">
        <v>79</v>
      </c>
      <c r="W349" s="200"/>
      <c r="X349" s="189" t="s">
        <v>79</v>
      </c>
      <c r="AQ349" s="148" t="s">
        <v>79</v>
      </c>
      <c r="AR349" s="148"/>
      <c r="AS349" s="148"/>
    </row>
    <row r="350" spans="2:45" ht="15.6" thickBot="1" x14ac:dyDescent="0.25">
      <c r="C350" s="158"/>
      <c r="D350" s="158"/>
      <c r="E350" s="197"/>
      <c r="F350" s="191"/>
      <c r="G350" s="191"/>
      <c r="H350" s="191"/>
      <c r="I350" s="192"/>
      <c r="J350" s="191"/>
      <c r="K350" s="191"/>
      <c r="L350" s="191"/>
      <c r="M350" s="191"/>
      <c r="N350" s="191"/>
      <c r="O350" s="191"/>
      <c r="P350" s="191" t="s">
        <v>79</v>
      </c>
      <c r="Q350" s="191"/>
      <c r="R350" s="191" t="s">
        <v>79</v>
      </c>
      <c r="S350" s="191"/>
      <c r="T350" s="191"/>
      <c r="U350" s="191"/>
      <c r="V350" s="191" t="s">
        <v>79</v>
      </c>
      <c r="W350" s="158"/>
      <c r="X350" s="189" t="s">
        <v>79</v>
      </c>
      <c r="AQ350" s="148" t="s">
        <v>79</v>
      </c>
      <c r="AR350" s="148"/>
      <c r="AS350" s="148"/>
    </row>
    <row r="351" spans="2:45" ht="18" customHeight="1" thickBot="1" x14ac:dyDescent="0.25">
      <c r="B351" s="145">
        <v>5</v>
      </c>
      <c r="C351" s="158"/>
      <c r="D351" s="152" t="s">
        <v>51</v>
      </c>
      <c r="E351" s="197" t="s">
        <v>550</v>
      </c>
      <c r="F351" s="275"/>
      <c r="G351" s="276"/>
      <c r="H351" s="277"/>
      <c r="I351" s="192"/>
      <c r="J351" s="117"/>
      <c r="K351" s="127"/>
      <c r="L351" s="117"/>
      <c r="M351" s="127"/>
      <c r="N351" s="158"/>
      <c r="O351" s="127"/>
      <c r="P351" s="198">
        <f>中間シート!D377</f>
        <v>0</v>
      </c>
      <c r="Q351" s="191"/>
      <c r="R351" s="198">
        <f>中間シート!G377</f>
        <v>0</v>
      </c>
      <c r="S351" s="191"/>
      <c r="T351" s="199" t="s">
        <v>40</v>
      </c>
      <c r="U351" s="191"/>
      <c r="V351" s="198">
        <f>中間シート!H377</f>
        <v>0</v>
      </c>
      <c r="W351" s="158"/>
      <c r="X351" s="189" t="str">
        <f>IF($B351&lt;=入力シート!$F$22,""&amp;中間シート!X293,"")</f>
        <v/>
      </c>
      <c r="AQ351" s="177">
        <f>中間シート!E293</f>
        <v>0</v>
      </c>
      <c r="AR351" s="148">
        <f>IF(F351="含まれている",1,IF(F351="含まれていない",2,0))</f>
        <v>0</v>
      </c>
      <c r="AS351" s="148" t="str">
        <f>IF(中間シート!N293=1,1,中間シート!P199)</f>
        <v/>
      </c>
    </row>
    <row r="352" spans="2:45" ht="5.0999999999999996" customHeight="1" thickBot="1" x14ac:dyDescent="0.25">
      <c r="C352" s="158"/>
      <c r="D352" s="158"/>
      <c r="E352" s="197"/>
      <c r="F352" s="191"/>
      <c r="G352" s="191"/>
      <c r="H352" s="191"/>
      <c r="I352" s="192"/>
      <c r="J352" s="127"/>
      <c r="K352" s="127"/>
      <c r="L352" s="127"/>
      <c r="M352" s="127"/>
      <c r="N352" s="158"/>
      <c r="O352" s="127"/>
      <c r="P352" s="191" t="s">
        <v>79</v>
      </c>
      <c r="Q352" s="191"/>
      <c r="R352" s="191" t="s">
        <v>79</v>
      </c>
      <c r="S352" s="191"/>
      <c r="T352" s="191"/>
      <c r="U352" s="191"/>
      <c r="V352" s="191" t="s">
        <v>79</v>
      </c>
      <c r="W352" s="158"/>
      <c r="X352" s="189" t="s">
        <v>79</v>
      </c>
      <c r="AQ352" s="148" t="s">
        <v>79</v>
      </c>
      <c r="AR352" s="148"/>
      <c r="AS352" s="148"/>
    </row>
    <row r="353" spans="2:45" ht="18" customHeight="1" thickBot="1" x14ac:dyDescent="0.25">
      <c r="B353" s="145">
        <v>5</v>
      </c>
      <c r="C353" s="158"/>
      <c r="D353" s="158"/>
      <c r="E353" s="197" t="s">
        <v>551</v>
      </c>
      <c r="F353" s="275"/>
      <c r="G353" s="276"/>
      <c r="H353" s="277"/>
      <c r="I353" s="192"/>
      <c r="J353" s="117"/>
      <c r="K353" s="127"/>
      <c r="L353" s="117"/>
      <c r="M353" s="127"/>
      <c r="N353" s="158"/>
      <c r="O353" s="127"/>
      <c r="P353" s="191" t="s">
        <v>79</v>
      </c>
      <c r="Q353" s="191"/>
      <c r="R353" s="191" t="s">
        <v>79</v>
      </c>
      <c r="S353" s="191"/>
      <c r="T353" s="191"/>
      <c r="U353" s="191"/>
      <c r="V353" s="191" t="s">
        <v>79</v>
      </c>
      <c r="W353" s="158"/>
      <c r="X353" s="189" t="str">
        <f>IF($B353&lt;=入力シート!$F$22,""&amp;中間シート!X294,"")</f>
        <v/>
      </c>
      <c r="AQ353" s="177">
        <f>中間シート!E294</f>
        <v>0</v>
      </c>
      <c r="AR353" s="148">
        <f>IF(F353="含まれている",1,IF(F353="含まれていない",2,0))</f>
        <v>0</v>
      </c>
      <c r="AS353" s="148" t="str">
        <f>IF(中間シート!N294=1,1,中間シート!P200)</f>
        <v/>
      </c>
    </row>
    <row r="354" spans="2:45" ht="5.0999999999999996" customHeight="1" thickBot="1" x14ac:dyDescent="0.25">
      <c r="C354" s="158"/>
      <c r="D354" s="158"/>
      <c r="E354" s="197"/>
      <c r="F354" s="191"/>
      <c r="G354" s="191"/>
      <c r="H354" s="191"/>
      <c r="I354" s="192"/>
      <c r="J354" s="127"/>
      <c r="K354" s="127"/>
      <c r="L354" s="127"/>
      <c r="M354" s="127"/>
      <c r="N354" s="158"/>
      <c r="O354" s="127"/>
      <c r="P354" s="191" t="s">
        <v>79</v>
      </c>
      <c r="Q354" s="191"/>
      <c r="R354" s="191" t="s">
        <v>79</v>
      </c>
      <c r="S354" s="191"/>
      <c r="T354" s="191"/>
      <c r="U354" s="191"/>
      <c r="V354" s="191" t="s">
        <v>79</v>
      </c>
      <c r="W354" s="158"/>
      <c r="X354" s="189" t="s">
        <v>79</v>
      </c>
      <c r="AQ354" s="177" t="s">
        <v>79</v>
      </c>
      <c r="AR354" s="148"/>
      <c r="AS354" s="148"/>
    </row>
    <row r="355" spans="2:45" ht="18" customHeight="1" thickBot="1" x14ac:dyDescent="0.25">
      <c r="B355" s="145">
        <v>5</v>
      </c>
      <c r="C355" s="158"/>
      <c r="D355" s="158"/>
      <c r="E355" s="197" t="s">
        <v>552</v>
      </c>
      <c r="F355" s="275"/>
      <c r="G355" s="276"/>
      <c r="H355" s="277"/>
      <c r="I355" s="192"/>
      <c r="J355" s="117"/>
      <c r="K355" s="127"/>
      <c r="L355" s="117"/>
      <c r="M355" s="127"/>
      <c r="N355" s="158"/>
      <c r="O355" s="127"/>
      <c r="P355" s="191" t="s">
        <v>79</v>
      </c>
      <c r="Q355" s="191"/>
      <c r="R355" s="191" t="s">
        <v>79</v>
      </c>
      <c r="S355" s="191"/>
      <c r="T355" s="191"/>
      <c r="U355" s="191"/>
      <c r="V355" s="191" t="s">
        <v>79</v>
      </c>
      <c r="W355" s="158"/>
      <c r="X355" s="189" t="str">
        <f>IF($B355&lt;=入力シート!$F$22,""&amp;中間シート!X295,"")</f>
        <v/>
      </c>
      <c r="AQ355" s="177">
        <f>中間シート!E295</f>
        <v>0</v>
      </c>
      <c r="AR355" s="148">
        <f>IF(F355="含まれている",1,IF(F355="含まれていない",2,0))</f>
        <v>0</v>
      </c>
      <c r="AS355" s="148" t="str">
        <f>IF(中間シート!N295=1,1,中間シート!P201)</f>
        <v/>
      </c>
    </row>
    <row r="356" spans="2:45" x14ac:dyDescent="0.2">
      <c r="C356" s="158"/>
      <c r="D356" s="158"/>
      <c r="E356" s="153"/>
      <c r="F356" s="127"/>
      <c r="G356" s="127"/>
      <c r="H356" s="127"/>
      <c r="I356" s="127"/>
      <c r="J356" s="127"/>
      <c r="K356" s="127"/>
      <c r="L356" s="127"/>
      <c r="M356" s="191"/>
      <c r="N356" s="191"/>
      <c r="O356" s="191"/>
      <c r="P356" s="127" t="s">
        <v>79</v>
      </c>
      <c r="Q356" s="191"/>
      <c r="R356" s="191" t="s">
        <v>79</v>
      </c>
      <c r="S356" s="191"/>
      <c r="T356" s="191"/>
      <c r="U356" s="191"/>
      <c r="V356" s="191" t="s">
        <v>79</v>
      </c>
      <c r="W356" s="158"/>
      <c r="X356" s="189" t="s">
        <v>79</v>
      </c>
      <c r="AQ356" s="148" t="s">
        <v>79</v>
      </c>
      <c r="AR356" s="148"/>
      <c r="AS356" s="148"/>
    </row>
    <row r="357" spans="2:45" ht="15.6" thickBot="1" x14ac:dyDescent="0.25">
      <c r="C357" s="200"/>
      <c r="D357" s="200"/>
      <c r="E357" s="201"/>
      <c r="F357" s="200"/>
      <c r="G357" s="200"/>
      <c r="H357" s="200"/>
      <c r="I357" s="202"/>
      <c r="J357" s="200"/>
      <c r="K357" s="200"/>
      <c r="L357" s="200"/>
      <c r="M357" s="200"/>
      <c r="N357" s="200"/>
      <c r="O357" s="200"/>
      <c r="P357" s="200" t="s">
        <v>79</v>
      </c>
      <c r="Q357" s="200"/>
      <c r="R357" s="200" t="s">
        <v>79</v>
      </c>
      <c r="S357" s="200"/>
      <c r="T357" s="200"/>
      <c r="U357" s="200"/>
      <c r="V357" s="200" t="s">
        <v>79</v>
      </c>
      <c r="W357" s="200"/>
      <c r="X357" s="189" t="s">
        <v>79</v>
      </c>
      <c r="AQ357" s="148" t="s">
        <v>79</v>
      </c>
      <c r="AR357" s="148"/>
      <c r="AS357" s="148"/>
    </row>
    <row r="358" spans="2:45" ht="18" customHeight="1" thickBot="1" x14ac:dyDescent="0.25">
      <c r="B358" s="145">
        <v>6</v>
      </c>
      <c r="C358" s="200"/>
      <c r="D358" s="204" t="s">
        <v>52</v>
      </c>
      <c r="E358" s="201" t="s">
        <v>550</v>
      </c>
      <c r="F358" s="275"/>
      <c r="G358" s="276"/>
      <c r="H358" s="277"/>
      <c r="I358" s="202"/>
      <c r="J358" s="117"/>
      <c r="K358" s="205"/>
      <c r="L358" s="117"/>
      <c r="M358" s="205"/>
      <c r="N358" s="203" t="s">
        <v>79</v>
      </c>
      <c r="O358" s="205"/>
      <c r="P358" s="198">
        <f>中間シート!D378</f>
        <v>0</v>
      </c>
      <c r="Q358" s="203"/>
      <c r="R358" s="198">
        <f>中間シート!G378</f>
        <v>0</v>
      </c>
      <c r="S358" s="203"/>
      <c r="T358" s="206" t="s">
        <v>40</v>
      </c>
      <c r="U358" s="203"/>
      <c r="V358" s="198">
        <f>中間シート!H378</f>
        <v>0</v>
      </c>
      <c r="W358" s="200"/>
      <c r="X358" s="189" t="str">
        <f>IF($B358&lt;=入力シート!$F$22,""&amp;中間シート!X296,"")</f>
        <v/>
      </c>
      <c r="AQ358" s="177">
        <f>中間シート!E296</f>
        <v>0</v>
      </c>
      <c r="AR358" s="148">
        <f>IF(F358="含まれている",1,IF(F358="含まれていない",2,0))</f>
        <v>0</v>
      </c>
      <c r="AS358" s="148" t="str">
        <f>IF(中間シート!N296=1,1,中間シート!P202)</f>
        <v/>
      </c>
    </row>
    <row r="359" spans="2:45" ht="5.0999999999999996" customHeight="1" thickBot="1" x14ac:dyDescent="0.25">
      <c r="C359" s="200"/>
      <c r="D359" s="200"/>
      <c r="E359" s="201"/>
      <c r="F359" s="203"/>
      <c r="G359" s="203"/>
      <c r="H359" s="203"/>
      <c r="I359" s="202"/>
      <c r="J359" s="205"/>
      <c r="K359" s="205"/>
      <c r="L359" s="205"/>
      <c r="M359" s="205"/>
      <c r="N359" s="203" t="s">
        <v>79</v>
      </c>
      <c r="O359" s="205"/>
      <c r="P359" s="203" t="s">
        <v>79</v>
      </c>
      <c r="Q359" s="203"/>
      <c r="R359" s="203" t="s">
        <v>79</v>
      </c>
      <c r="S359" s="203"/>
      <c r="T359" s="203"/>
      <c r="U359" s="203"/>
      <c r="V359" s="203" t="s">
        <v>79</v>
      </c>
      <c r="W359" s="200"/>
      <c r="X359" s="189" t="s">
        <v>79</v>
      </c>
      <c r="AQ359" s="148" t="s">
        <v>79</v>
      </c>
      <c r="AR359" s="148"/>
      <c r="AS359" s="148"/>
    </row>
    <row r="360" spans="2:45" ht="18" customHeight="1" thickBot="1" x14ac:dyDescent="0.25">
      <c r="B360" s="145">
        <v>6</v>
      </c>
      <c r="C360" s="200"/>
      <c r="D360" s="200"/>
      <c r="E360" s="201" t="s">
        <v>551</v>
      </c>
      <c r="F360" s="275"/>
      <c r="G360" s="276"/>
      <c r="H360" s="277"/>
      <c r="I360" s="202"/>
      <c r="J360" s="117"/>
      <c r="K360" s="205"/>
      <c r="L360" s="117"/>
      <c r="M360" s="205"/>
      <c r="N360" s="203" t="s">
        <v>79</v>
      </c>
      <c r="O360" s="205"/>
      <c r="P360" s="203" t="s">
        <v>79</v>
      </c>
      <c r="Q360" s="203"/>
      <c r="R360" s="203" t="s">
        <v>79</v>
      </c>
      <c r="S360" s="203"/>
      <c r="T360" s="203"/>
      <c r="U360" s="203"/>
      <c r="V360" s="203" t="s">
        <v>79</v>
      </c>
      <c r="W360" s="200"/>
      <c r="X360" s="189" t="str">
        <f>IF($B360&lt;=入力シート!$F$22,""&amp;中間シート!X297,"")</f>
        <v/>
      </c>
      <c r="AQ360" s="177">
        <f>中間シート!E297</f>
        <v>0</v>
      </c>
      <c r="AR360" s="148">
        <f>IF(F360="含まれている",1,IF(F360="含まれていない",2,0))</f>
        <v>0</v>
      </c>
      <c r="AS360" s="148" t="str">
        <f>IF(中間シート!N297=1,1,中間シート!P203)</f>
        <v/>
      </c>
    </row>
    <row r="361" spans="2:45" ht="5.0999999999999996" customHeight="1" thickBot="1" x14ac:dyDescent="0.25">
      <c r="C361" s="200"/>
      <c r="D361" s="200"/>
      <c r="E361" s="201"/>
      <c r="F361" s="203"/>
      <c r="G361" s="203"/>
      <c r="H361" s="203"/>
      <c r="I361" s="202"/>
      <c r="J361" s="205"/>
      <c r="K361" s="205"/>
      <c r="L361" s="205"/>
      <c r="M361" s="205"/>
      <c r="N361" s="203" t="s">
        <v>79</v>
      </c>
      <c r="O361" s="205"/>
      <c r="P361" s="203" t="s">
        <v>79</v>
      </c>
      <c r="Q361" s="203"/>
      <c r="R361" s="203" t="s">
        <v>79</v>
      </c>
      <c r="S361" s="203"/>
      <c r="T361" s="203"/>
      <c r="U361" s="203"/>
      <c r="V361" s="203" t="s">
        <v>79</v>
      </c>
      <c r="W361" s="200"/>
      <c r="X361" s="189" t="s">
        <v>79</v>
      </c>
      <c r="AQ361" s="177" t="s">
        <v>79</v>
      </c>
      <c r="AR361" s="148"/>
      <c r="AS361" s="148"/>
    </row>
    <row r="362" spans="2:45" ht="18" customHeight="1" thickBot="1" x14ac:dyDescent="0.25">
      <c r="B362" s="145">
        <v>6</v>
      </c>
      <c r="C362" s="200"/>
      <c r="D362" s="200"/>
      <c r="E362" s="201" t="s">
        <v>552</v>
      </c>
      <c r="F362" s="275"/>
      <c r="G362" s="276"/>
      <c r="H362" s="277"/>
      <c r="I362" s="202"/>
      <c r="J362" s="117"/>
      <c r="K362" s="205"/>
      <c r="L362" s="117"/>
      <c r="M362" s="205"/>
      <c r="N362" s="203" t="s">
        <v>79</v>
      </c>
      <c r="O362" s="205"/>
      <c r="P362" s="203" t="s">
        <v>79</v>
      </c>
      <c r="Q362" s="203"/>
      <c r="R362" s="203" t="s">
        <v>79</v>
      </c>
      <c r="S362" s="203"/>
      <c r="T362" s="203"/>
      <c r="U362" s="203"/>
      <c r="V362" s="203" t="s">
        <v>79</v>
      </c>
      <c r="W362" s="200"/>
      <c r="X362" s="189" t="str">
        <f>IF($B362&lt;=入力シート!$F$22,""&amp;中間シート!X298,"")</f>
        <v/>
      </c>
      <c r="AQ362" s="177">
        <f>中間シート!E298</f>
        <v>0</v>
      </c>
      <c r="AR362" s="148">
        <f>IF(F362="含まれている",1,IF(F362="含まれていない",2,0))</f>
        <v>0</v>
      </c>
      <c r="AS362" s="148" t="str">
        <f>IF(中間シート!N298=1,1,中間シート!P204)</f>
        <v/>
      </c>
    </row>
    <row r="363" spans="2:45" x14ac:dyDescent="0.2">
      <c r="C363" s="200"/>
      <c r="D363" s="200"/>
      <c r="E363" s="201"/>
      <c r="F363" s="205"/>
      <c r="G363" s="205"/>
      <c r="H363" s="205"/>
      <c r="I363" s="205"/>
      <c r="J363" s="205"/>
      <c r="K363" s="205"/>
      <c r="L363" s="205"/>
      <c r="M363" s="203"/>
      <c r="N363" s="203"/>
      <c r="O363" s="203"/>
      <c r="P363" s="205" t="s">
        <v>79</v>
      </c>
      <c r="Q363" s="203"/>
      <c r="R363" s="203" t="s">
        <v>79</v>
      </c>
      <c r="S363" s="203"/>
      <c r="T363" s="203"/>
      <c r="U363" s="203"/>
      <c r="V363" s="203" t="s">
        <v>79</v>
      </c>
      <c r="W363" s="200"/>
      <c r="X363" s="189" t="s">
        <v>79</v>
      </c>
      <c r="AQ363" s="148" t="s">
        <v>79</v>
      </c>
      <c r="AR363" s="148"/>
      <c r="AS363" s="148"/>
    </row>
    <row r="364" spans="2:45" ht="15.6" thickBot="1" x14ac:dyDescent="0.25">
      <c r="C364" s="158"/>
      <c r="D364" s="158"/>
      <c r="E364" s="197"/>
      <c r="F364" s="191"/>
      <c r="G364" s="191"/>
      <c r="H364" s="191"/>
      <c r="I364" s="192"/>
      <c r="J364" s="191"/>
      <c r="K364" s="191"/>
      <c r="L364" s="191"/>
      <c r="M364" s="191"/>
      <c r="N364" s="191"/>
      <c r="O364" s="191"/>
      <c r="P364" s="191" t="s">
        <v>79</v>
      </c>
      <c r="Q364" s="191"/>
      <c r="R364" s="191" t="s">
        <v>79</v>
      </c>
      <c r="S364" s="191"/>
      <c r="T364" s="191"/>
      <c r="U364" s="191"/>
      <c r="V364" s="191" t="s">
        <v>79</v>
      </c>
      <c r="W364" s="158"/>
      <c r="X364" s="189" t="s">
        <v>79</v>
      </c>
      <c r="AQ364" s="148" t="s">
        <v>79</v>
      </c>
      <c r="AR364" s="148"/>
      <c r="AS364" s="148"/>
    </row>
    <row r="365" spans="2:45" ht="18" customHeight="1" thickBot="1" x14ac:dyDescent="0.25">
      <c r="B365" s="145">
        <v>7</v>
      </c>
      <c r="C365" s="158"/>
      <c r="D365" s="152" t="s">
        <v>53</v>
      </c>
      <c r="E365" s="197" t="s">
        <v>550</v>
      </c>
      <c r="F365" s="275"/>
      <c r="G365" s="276"/>
      <c r="H365" s="277"/>
      <c r="I365" s="192"/>
      <c r="J365" s="117"/>
      <c r="K365" s="127"/>
      <c r="L365" s="117"/>
      <c r="M365" s="127"/>
      <c r="N365" s="158"/>
      <c r="O365" s="127"/>
      <c r="P365" s="198">
        <f>中間シート!D379</f>
        <v>0</v>
      </c>
      <c r="Q365" s="191"/>
      <c r="R365" s="198">
        <f>中間シート!G379</f>
        <v>0</v>
      </c>
      <c r="S365" s="191"/>
      <c r="T365" s="199" t="s">
        <v>40</v>
      </c>
      <c r="U365" s="191"/>
      <c r="V365" s="198">
        <f>中間シート!H379</f>
        <v>0</v>
      </c>
      <c r="W365" s="158"/>
      <c r="X365" s="189" t="str">
        <f>IF($B365&lt;=入力シート!$F$22,""&amp;中間シート!X299,"")</f>
        <v/>
      </c>
      <c r="AQ365" s="177">
        <f>中間シート!E299</f>
        <v>0</v>
      </c>
      <c r="AR365" s="148">
        <f>IF(F365="含まれている",1,IF(F365="含まれていない",2,0))</f>
        <v>0</v>
      </c>
      <c r="AS365" s="148" t="str">
        <f>IF(中間シート!N299=1,1,中間シート!P205)</f>
        <v/>
      </c>
    </row>
    <row r="366" spans="2:45" ht="5.0999999999999996" customHeight="1" thickBot="1" x14ac:dyDescent="0.25">
      <c r="C366" s="158"/>
      <c r="D366" s="158"/>
      <c r="E366" s="197"/>
      <c r="F366" s="191"/>
      <c r="G366" s="191"/>
      <c r="H366" s="191"/>
      <c r="I366" s="192"/>
      <c r="J366" s="127"/>
      <c r="K366" s="127"/>
      <c r="L366" s="127"/>
      <c r="M366" s="127"/>
      <c r="N366" s="158"/>
      <c r="O366" s="127"/>
      <c r="P366" s="191" t="s">
        <v>79</v>
      </c>
      <c r="Q366" s="191"/>
      <c r="R366" s="191" t="s">
        <v>79</v>
      </c>
      <c r="S366" s="191"/>
      <c r="T366" s="191"/>
      <c r="U366" s="191"/>
      <c r="V366" s="191" t="s">
        <v>79</v>
      </c>
      <c r="W366" s="158"/>
      <c r="X366" s="189" t="s">
        <v>79</v>
      </c>
      <c r="AQ366" s="148" t="s">
        <v>79</v>
      </c>
      <c r="AR366" s="148"/>
      <c r="AS366" s="148"/>
    </row>
    <row r="367" spans="2:45" ht="18" customHeight="1" thickBot="1" x14ac:dyDescent="0.25">
      <c r="B367" s="145">
        <v>7</v>
      </c>
      <c r="C367" s="158"/>
      <c r="D367" s="158"/>
      <c r="E367" s="197" t="s">
        <v>551</v>
      </c>
      <c r="F367" s="275"/>
      <c r="G367" s="276"/>
      <c r="H367" s="277"/>
      <c r="I367" s="192"/>
      <c r="J367" s="117"/>
      <c r="K367" s="127"/>
      <c r="L367" s="117"/>
      <c r="M367" s="127"/>
      <c r="N367" s="158"/>
      <c r="O367" s="127"/>
      <c r="P367" s="191" t="s">
        <v>79</v>
      </c>
      <c r="Q367" s="191"/>
      <c r="R367" s="191" t="s">
        <v>79</v>
      </c>
      <c r="S367" s="191"/>
      <c r="T367" s="191"/>
      <c r="U367" s="191"/>
      <c r="V367" s="191" t="s">
        <v>79</v>
      </c>
      <c r="W367" s="158"/>
      <c r="X367" s="189" t="str">
        <f>IF($B367&lt;=入力シート!$F$22,""&amp;中間シート!X300,"")</f>
        <v/>
      </c>
      <c r="AQ367" s="177">
        <f>中間シート!E300</f>
        <v>0</v>
      </c>
      <c r="AR367" s="148">
        <f>IF(F367="含まれている",1,IF(F367="含まれていない",2,0))</f>
        <v>0</v>
      </c>
      <c r="AS367" s="148" t="str">
        <f>IF(中間シート!N300=1,1,中間シート!P206)</f>
        <v/>
      </c>
    </row>
    <row r="368" spans="2:45" ht="5.0999999999999996" customHeight="1" thickBot="1" x14ac:dyDescent="0.25">
      <c r="C368" s="158"/>
      <c r="D368" s="158"/>
      <c r="E368" s="197"/>
      <c r="F368" s="191"/>
      <c r="G368" s="191"/>
      <c r="H368" s="191"/>
      <c r="I368" s="192"/>
      <c r="J368" s="127"/>
      <c r="K368" s="127"/>
      <c r="L368" s="127"/>
      <c r="M368" s="127"/>
      <c r="N368" s="158"/>
      <c r="O368" s="127"/>
      <c r="P368" s="191" t="s">
        <v>79</v>
      </c>
      <c r="Q368" s="191"/>
      <c r="R368" s="191" t="s">
        <v>79</v>
      </c>
      <c r="S368" s="191"/>
      <c r="T368" s="191"/>
      <c r="U368" s="191"/>
      <c r="V368" s="191" t="s">
        <v>79</v>
      </c>
      <c r="W368" s="158"/>
      <c r="X368" s="189" t="s">
        <v>79</v>
      </c>
      <c r="AQ368" s="177" t="s">
        <v>79</v>
      </c>
      <c r="AR368" s="148"/>
      <c r="AS368" s="148"/>
    </row>
    <row r="369" spans="2:45" ht="18" customHeight="1" thickBot="1" x14ac:dyDescent="0.25">
      <c r="B369" s="145">
        <v>7</v>
      </c>
      <c r="C369" s="158"/>
      <c r="D369" s="158"/>
      <c r="E369" s="197" t="s">
        <v>552</v>
      </c>
      <c r="F369" s="275"/>
      <c r="G369" s="276"/>
      <c r="H369" s="277"/>
      <c r="I369" s="192"/>
      <c r="J369" s="117"/>
      <c r="K369" s="127"/>
      <c r="L369" s="117"/>
      <c r="M369" s="127"/>
      <c r="N369" s="158"/>
      <c r="O369" s="127"/>
      <c r="P369" s="191" t="s">
        <v>79</v>
      </c>
      <c r="Q369" s="191"/>
      <c r="R369" s="191" t="s">
        <v>79</v>
      </c>
      <c r="S369" s="191"/>
      <c r="T369" s="191"/>
      <c r="U369" s="191"/>
      <c r="V369" s="191" t="s">
        <v>79</v>
      </c>
      <c r="W369" s="158"/>
      <c r="X369" s="189" t="str">
        <f>IF($B369&lt;=入力シート!$F$22,""&amp;中間シート!X301,"")</f>
        <v/>
      </c>
      <c r="AQ369" s="177">
        <f>中間シート!E301</f>
        <v>0</v>
      </c>
      <c r="AR369" s="148">
        <f>IF(F369="含まれている",1,IF(F369="含まれていない",2,0))</f>
        <v>0</v>
      </c>
      <c r="AS369" s="148" t="str">
        <f>IF(中間シート!N301=1,1,中間シート!P207)</f>
        <v/>
      </c>
    </row>
    <row r="370" spans="2:45" x14ac:dyDescent="0.2">
      <c r="C370" s="158"/>
      <c r="D370" s="158"/>
      <c r="E370" s="153"/>
      <c r="F370" s="127"/>
      <c r="G370" s="127"/>
      <c r="H370" s="127"/>
      <c r="I370" s="127"/>
      <c r="J370" s="127"/>
      <c r="K370" s="127"/>
      <c r="L370" s="127"/>
      <c r="M370" s="191"/>
      <c r="N370" s="191"/>
      <c r="O370" s="191"/>
      <c r="P370" s="127" t="s">
        <v>79</v>
      </c>
      <c r="Q370" s="191"/>
      <c r="R370" s="191" t="s">
        <v>79</v>
      </c>
      <c r="S370" s="191"/>
      <c r="T370" s="191"/>
      <c r="U370" s="191"/>
      <c r="V370" s="191" t="s">
        <v>79</v>
      </c>
      <c r="W370" s="158"/>
      <c r="X370" s="189" t="s">
        <v>79</v>
      </c>
      <c r="AQ370" s="148" t="s">
        <v>79</v>
      </c>
      <c r="AR370" s="148"/>
      <c r="AS370" s="148"/>
    </row>
    <row r="371" spans="2:45" ht="15.6" thickBot="1" x14ac:dyDescent="0.25">
      <c r="C371" s="200"/>
      <c r="D371" s="200"/>
      <c r="E371" s="201"/>
      <c r="F371" s="200"/>
      <c r="G371" s="200"/>
      <c r="H371" s="200"/>
      <c r="I371" s="202"/>
      <c r="J371" s="200"/>
      <c r="K371" s="200"/>
      <c r="L371" s="200"/>
      <c r="M371" s="200"/>
      <c r="N371" s="200"/>
      <c r="O371" s="200"/>
      <c r="P371" s="200" t="s">
        <v>79</v>
      </c>
      <c r="Q371" s="200"/>
      <c r="R371" s="200" t="s">
        <v>79</v>
      </c>
      <c r="S371" s="200"/>
      <c r="T371" s="200"/>
      <c r="U371" s="200"/>
      <c r="V371" s="200" t="s">
        <v>79</v>
      </c>
      <c r="W371" s="200"/>
      <c r="X371" s="189" t="s">
        <v>79</v>
      </c>
      <c r="AQ371" s="148" t="s">
        <v>79</v>
      </c>
      <c r="AR371" s="148"/>
      <c r="AS371" s="148"/>
    </row>
    <row r="372" spans="2:45" ht="18" customHeight="1" thickBot="1" x14ac:dyDescent="0.25">
      <c r="B372" s="145">
        <v>8</v>
      </c>
      <c r="C372" s="200"/>
      <c r="D372" s="204" t="s">
        <v>54</v>
      </c>
      <c r="E372" s="201" t="s">
        <v>550</v>
      </c>
      <c r="F372" s="275"/>
      <c r="G372" s="276"/>
      <c r="H372" s="277"/>
      <c r="I372" s="202"/>
      <c r="J372" s="117"/>
      <c r="K372" s="205"/>
      <c r="L372" s="117"/>
      <c r="M372" s="205"/>
      <c r="N372" s="203" t="s">
        <v>79</v>
      </c>
      <c r="O372" s="205"/>
      <c r="P372" s="198">
        <f>中間シート!D380</f>
        <v>0</v>
      </c>
      <c r="Q372" s="203"/>
      <c r="R372" s="198">
        <f>中間シート!G380</f>
        <v>0</v>
      </c>
      <c r="S372" s="203"/>
      <c r="T372" s="206" t="s">
        <v>40</v>
      </c>
      <c r="U372" s="203"/>
      <c r="V372" s="198">
        <f>中間シート!H380</f>
        <v>0</v>
      </c>
      <c r="W372" s="200"/>
      <c r="X372" s="189" t="str">
        <f>IF($B372&lt;=入力シート!$F$22,""&amp;中間シート!X302,"")</f>
        <v/>
      </c>
      <c r="AQ372" s="177">
        <f>中間シート!E302</f>
        <v>0</v>
      </c>
      <c r="AR372" s="148">
        <f>IF(F372="含まれている",1,IF(F372="含まれていない",2,0))</f>
        <v>0</v>
      </c>
      <c r="AS372" s="148" t="str">
        <f>IF(中間シート!N302=1,1,中間シート!P208)</f>
        <v/>
      </c>
    </row>
    <row r="373" spans="2:45" ht="5.0999999999999996" customHeight="1" thickBot="1" x14ac:dyDescent="0.25">
      <c r="C373" s="200"/>
      <c r="D373" s="200"/>
      <c r="E373" s="201"/>
      <c r="F373" s="203"/>
      <c r="G373" s="203"/>
      <c r="H373" s="203"/>
      <c r="I373" s="202"/>
      <c r="J373" s="205"/>
      <c r="K373" s="205"/>
      <c r="L373" s="205"/>
      <c r="M373" s="205"/>
      <c r="N373" s="203" t="s">
        <v>79</v>
      </c>
      <c r="O373" s="205"/>
      <c r="P373" s="203" t="s">
        <v>79</v>
      </c>
      <c r="Q373" s="203"/>
      <c r="R373" s="203" t="s">
        <v>79</v>
      </c>
      <c r="S373" s="203"/>
      <c r="T373" s="203"/>
      <c r="U373" s="203"/>
      <c r="V373" s="203" t="s">
        <v>79</v>
      </c>
      <c r="W373" s="200"/>
      <c r="X373" s="189" t="s">
        <v>79</v>
      </c>
      <c r="AQ373" s="148" t="s">
        <v>79</v>
      </c>
      <c r="AR373" s="148"/>
      <c r="AS373" s="148"/>
    </row>
    <row r="374" spans="2:45" ht="18" customHeight="1" thickBot="1" x14ac:dyDescent="0.25">
      <c r="B374" s="145">
        <v>8</v>
      </c>
      <c r="C374" s="200"/>
      <c r="D374" s="200"/>
      <c r="E374" s="201" t="s">
        <v>551</v>
      </c>
      <c r="F374" s="275"/>
      <c r="G374" s="276"/>
      <c r="H374" s="277"/>
      <c r="I374" s="202"/>
      <c r="J374" s="117"/>
      <c r="K374" s="205"/>
      <c r="L374" s="117"/>
      <c r="M374" s="205"/>
      <c r="N374" s="203" t="s">
        <v>79</v>
      </c>
      <c r="O374" s="205"/>
      <c r="P374" s="203" t="s">
        <v>79</v>
      </c>
      <c r="Q374" s="203"/>
      <c r="R374" s="203" t="s">
        <v>79</v>
      </c>
      <c r="S374" s="203"/>
      <c r="T374" s="203"/>
      <c r="U374" s="203"/>
      <c r="V374" s="203" t="s">
        <v>79</v>
      </c>
      <c r="W374" s="200"/>
      <c r="X374" s="189" t="str">
        <f>IF($B374&lt;=入力シート!$F$22,""&amp;中間シート!X303,"")</f>
        <v/>
      </c>
      <c r="AQ374" s="177">
        <f>中間シート!E303</f>
        <v>0</v>
      </c>
      <c r="AR374" s="148">
        <f>IF(F374="含まれている",1,IF(F374="含まれていない",2,0))</f>
        <v>0</v>
      </c>
      <c r="AS374" s="148" t="str">
        <f>IF(中間シート!N303=1,1,中間シート!P209)</f>
        <v/>
      </c>
    </row>
    <row r="375" spans="2:45" ht="5.0999999999999996" customHeight="1" thickBot="1" x14ac:dyDescent="0.25">
      <c r="C375" s="200"/>
      <c r="D375" s="200"/>
      <c r="E375" s="201"/>
      <c r="F375" s="203"/>
      <c r="G375" s="203"/>
      <c r="H375" s="203"/>
      <c r="I375" s="202"/>
      <c r="J375" s="205"/>
      <c r="K375" s="205"/>
      <c r="L375" s="205"/>
      <c r="M375" s="205"/>
      <c r="N375" s="203" t="s">
        <v>79</v>
      </c>
      <c r="O375" s="205"/>
      <c r="P375" s="203" t="s">
        <v>79</v>
      </c>
      <c r="Q375" s="203"/>
      <c r="R375" s="203" t="s">
        <v>79</v>
      </c>
      <c r="S375" s="203"/>
      <c r="T375" s="203"/>
      <c r="U375" s="203"/>
      <c r="V375" s="203" t="s">
        <v>79</v>
      </c>
      <c r="W375" s="200"/>
      <c r="X375" s="189" t="s">
        <v>79</v>
      </c>
      <c r="AQ375" s="177" t="s">
        <v>79</v>
      </c>
      <c r="AR375" s="148"/>
      <c r="AS375" s="148"/>
    </row>
    <row r="376" spans="2:45" ht="18" customHeight="1" thickBot="1" x14ac:dyDescent="0.25">
      <c r="B376" s="145">
        <v>8</v>
      </c>
      <c r="C376" s="200"/>
      <c r="D376" s="200"/>
      <c r="E376" s="201" t="s">
        <v>552</v>
      </c>
      <c r="F376" s="275"/>
      <c r="G376" s="276"/>
      <c r="H376" s="277"/>
      <c r="I376" s="202"/>
      <c r="J376" s="117"/>
      <c r="K376" s="205"/>
      <c r="L376" s="117"/>
      <c r="M376" s="205"/>
      <c r="N376" s="203" t="s">
        <v>79</v>
      </c>
      <c r="O376" s="205"/>
      <c r="P376" s="203" t="s">
        <v>79</v>
      </c>
      <c r="Q376" s="203"/>
      <c r="R376" s="203" t="s">
        <v>79</v>
      </c>
      <c r="S376" s="203"/>
      <c r="T376" s="203"/>
      <c r="U376" s="203"/>
      <c r="V376" s="203" t="s">
        <v>79</v>
      </c>
      <c r="W376" s="200"/>
      <c r="X376" s="189" t="str">
        <f>IF($B376&lt;=入力シート!$F$22,""&amp;中間シート!X304,"")</f>
        <v/>
      </c>
      <c r="AQ376" s="177">
        <f>中間シート!E304</f>
        <v>0</v>
      </c>
      <c r="AR376" s="148">
        <f>IF(F376="含まれている",1,IF(F376="含まれていない",2,0))</f>
        <v>0</v>
      </c>
      <c r="AS376" s="148" t="str">
        <f>IF(中間シート!N304=1,1,中間シート!P210)</f>
        <v/>
      </c>
    </row>
    <row r="377" spans="2:45" x14ac:dyDescent="0.2">
      <c r="C377" s="200"/>
      <c r="D377" s="200"/>
      <c r="E377" s="201"/>
      <c r="F377" s="205"/>
      <c r="G377" s="205"/>
      <c r="H377" s="205"/>
      <c r="I377" s="205"/>
      <c r="J377" s="205"/>
      <c r="K377" s="205"/>
      <c r="L377" s="205"/>
      <c r="M377" s="203"/>
      <c r="N377" s="203"/>
      <c r="O377" s="203"/>
      <c r="P377" s="205" t="s">
        <v>79</v>
      </c>
      <c r="Q377" s="203"/>
      <c r="R377" s="203" t="s">
        <v>79</v>
      </c>
      <c r="S377" s="203"/>
      <c r="T377" s="203"/>
      <c r="U377" s="203"/>
      <c r="V377" s="203" t="s">
        <v>79</v>
      </c>
      <c r="W377" s="200"/>
      <c r="X377" s="189" t="s">
        <v>79</v>
      </c>
      <c r="AQ377" s="148" t="s">
        <v>79</v>
      </c>
      <c r="AR377" s="148"/>
      <c r="AS377" s="148"/>
    </row>
    <row r="378" spans="2:45" ht="15.6" thickBot="1" x14ac:dyDescent="0.25">
      <c r="C378" s="158"/>
      <c r="D378" s="158"/>
      <c r="E378" s="197"/>
      <c r="F378" s="191"/>
      <c r="G378" s="191"/>
      <c r="H378" s="191"/>
      <c r="I378" s="192"/>
      <c r="J378" s="191"/>
      <c r="K378" s="191"/>
      <c r="L378" s="191"/>
      <c r="M378" s="191"/>
      <c r="N378" s="191"/>
      <c r="O378" s="191"/>
      <c r="P378" s="191" t="s">
        <v>79</v>
      </c>
      <c r="Q378" s="191"/>
      <c r="R378" s="191" t="s">
        <v>79</v>
      </c>
      <c r="S378" s="191"/>
      <c r="T378" s="191"/>
      <c r="U378" s="191"/>
      <c r="V378" s="191" t="s">
        <v>79</v>
      </c>
      <c r="W378" s="158"/>
      <c r="X378" s="189" t="s">
        <v>79</v>
      </c>
      <c r="AQ378" s="148" t="s">
        <v>79</v>
      </c>
      <c r="AR378" s="148"/>
      <c r="AS378" s="148"/>
    </row>
    <row r="379" spans="2:45" ht="18" customHeight="1" thickBot="1" x14ac:dyDescent="0.25">
      <c r="B379" s="145">
        <v>9</v>
      </c>
      <c r="C379" s="158"/>
      <c r="D379" s="152" t="s">
        <v>55</v>
      </c>
      <c r="E379" s="197" t="s">
        <v>550</v>
      </c>
      <c r="F379" s="275"/>
      <c r="G379" s="276"/>
      <c r="H379" s="277"/>
      <c r="I379" s="192"/>
      <c r="J379" s="117"/>
      <c r="K379" s="127"/>
      <c r="L379" s="117"/>
      <c r="M379" s="127"/>
      <c r="N379" s="158"/>
      <c r="O379" s="127"/>
      <c r="P379" s="198">
        <f>中間シート!D381</f>
        <v>0</v>
      </c>
      <c r="Q379" s="191"/>
      <c r="R379" s="198">
        <f>中間シート!G381</f>
        <v>0</v>
      </c>
      <c r="S379" s="191"/>
      <c r="T379" s="199" t="s">
        <v>40</v>
      </c>
      <c r="U379" s="191"/>
      <c r="V379" s="198">
        <f>中間シート!H381</f>
        <v>0</v>
      </c>
      <c r="W379" s="158"/>
      <c r="X379" s="189" t="str">
        <f>IF($B379&lt;=入力シート!$F$22,""&amp;中間シート!X305,"")</f>
        <v/>
      </c>
      <c r="AQ379" s="177">
        <f>中間シート!E305</f>
        <v>0</v>
      </c>
      <c r="AR379" s="148">
        <f>IF(F379="含まれている",1,IF(F379="含まれていない",2,0))</f>
        <v>0</v>
      </c>
      <c r="AS379" s="148" t="str">
        <f>IF(中間シート!N305=1,1,中間シート!P211)</f>
        <v/>
      </c>
    </row>
    <row r="380" spans="2:45" ht="5.0999999999999996" customHeight="1" thickBot="1" x14ac:dyDescent="0.25">
      <c r="C380" s="158"/>
      <c r="D380" s="158"/>
      <c r="E380" s="197"/>
      <c r="F380" s="191"/>
      <c r="G380" s="191"/>
      <c r="H380" s="191"/>
      <c r="I380" s="192"/>
      <c r="J380" s="127"/>
      <c r="K380" s="127"/>
      <c r="L380" s="127"/>
      <c r="M380" s="127"/>
      <c r="N380" s="158"/>
      <c r="O380" s="127"/>
      <c r="P380" s="191" t="s">
        <v>79</v>
      </c>
      <c r="Q380" s="191"/>
      <c r="R380" s="191" t="s">
        <v>79</v>
      </c>
      <c r="S380" s="191"/>
      <c r="T380" s="191"/>
      <c r="U380" s="191"/>
      <c r="V380" s="191" t="s">
        <v>79</v>
      </c>
      <c r="W380" s="158"/>
      <c r="X380" s="189" t="s">
        <v>79</v>
      </c>
      <c r="AQ380" s="148" t="s">
        <v>79</v>
      </c>
      <c r="AR380" s="148"/>
      <c r="AS380" s="148"/>
    </row>
    <row r="381" spans="2:45" ht="18" customHeight="1" thickBot="1" x14ac:dyDescent="0.25">
      <c r="B381" s="145">
        <v>9</v>
      </c>
      <c r="C381" s="158"/>
      <c r="D381" s="158"/>
      <c r="E381" s="197" t="s">
        <v>551</v>
      </c>
      <c r="F381" s="275"/>
      <c r="G381" s="276"/>
      <c r="H381" s="277"/>
      <c r="I381" s="192"/>
      <c r="J381" s="117"/>
      <c r="K381" s="127"/>
      <c r="L381" s="117"/>
      <c r="M381" s="127"/>
      <c r="N381" s="158"/>
      <c r="O381" s="127"/>
      <c r="P381" s="191" t="s">
        <v>79</v>
      </c>
      <c r="Q381" s="191"/>
      <c r="R381" s="191" t="s">
        <v>79</v>
      </c>
      <c r="S381" s="191"/>
      <c r="T381" s="191"/>
      <c r="U381" s="191"/>
      <c r="V381" s="191" t="s">
        <v>79</v>
      </c>
      <c r="W381" s="158"/>
      <c r="X381" s="189" t="str">
        <f>IF($B381&lt;=入力シート!$F$22,""&amp;中間シート!X306,"")</f>
        <v/>
      </c>
      <c r="AQ381" s="177">
        <f>中間シート!E306</f>
        <v>0</v>
      </c>
      <c r="AR381" s="148">
        <f>IF(F381="含まれている",1,IF(F381="含まれていない",2,0))</f>
        <v>0</v>
      </c>
      <c r="AS381" s="148" t="str">
        <f>IF(中間シート!N306=1,1,中間シート!P212)</f>
        <v/>
      </c>
    </row>
    <row r="382" spans="2:45" ht="5.0999999999999996" customHeight="1" thickBot="1" x14ac:dyDescent="0.25">
      <c r="C382" s="158"/>
      <c r="D382" s="158"/>
      <c r="E382" s="197"/>
      <c r="F382" s="191"/>
      <c r="G382" s="191"/>
      <c r="H382" s="191"/>
      <c r="I382" s="192"/>
      <c r="J382" s="127"/>
      <c r="K382" s="127"/>
      <c r="L382" s="127"/>
      <c r="M382" s="127"/>
      <c r="N382" s="158"/>
      <c r="O382" s="127"/>
      <c r="P382" s="191" t="s">
        <v>79</v>
      </c>
      <c r="Q382" s="191"/>
      <c r="R382" s="191" t="s">
        <v>79</v>
      </c>
      <c r="S382" s="191"/>
      <c r="T382" s="191"/>
      <c r="U382" s="191"/>
      <c r="V382" s="191" t="s">
        <v>79</v>
      </c>
      <c r="W382" s="158"/>
      <c r="X382" s="189" t="s">
        <v>79</v>
      </c>
      <c r="AQ382" s="177" t="s">
        <v>79</v>
      </c>
      <c r="AR382" s="148"/>
      <c r="AS382" s="148"/>
    </row>
    <row r="383" spans="2:45" ht="18" customHeight="1" thickBot="1" x14ac:dyDescent="0.25">
      <c r="B383" s="145">
        <v>9</v>
      </c>
      <c r="C383" s="158"/>
      <c r="D383" s="158"/>
      <c r="E383" s="197" t="s">
        <v>552</v>
      </c>
      <c r="F383" s="275"/>
      <c r="G383" s="276"/>
      <c r="H383" s="277"/>
      <c r="I383" s="192"/>
      <c r="J383" s="117"/>
      <c r="K383" s="127"/>
      <c r="L383" s="117"/>
      <c r="M383" s="127"/>
      <c r="N383" s="158"/>
      <c r="O383" s="127"/>
      <c r="P383" s="191" t="s">
        <v>79</v>
      </c>
      <c r="Q383" s="191"/>
      <c r="R383" s="191" t="s">
        <v>79</v>
      </c>
      <c r="S383" s="191"/>
      <c r="T383" s="191"/>
      <c r="U383" s="191"/>
      <c r="V383" s="191" t="s">
        <v>79</v>
      </c>
      <c r="W383" s="158"/>
      <c r="X383" s="189" t="str">
        <f>IF($B383&lt;=入力シート!$F$22,""&amp;中間シート!X307,"")</f>
        <v/>
      </c>
      <c r="AQ383" s="177">
        <f>中間シート!E307</f>
        <v>0</v>
      </c>
      <c r="AR383" s="148">
        <f>IF(F383="含まれている",1,IF(F383="含まれていない",2,0))</f>
        <v>0</v>
      </c>
      <c r="AS383" s="148" t="str">
        <f>IF(中間シート!N307=1,1,中間シート!P213)</f>
        <v/>
      </c>
    </row>
    <row r="384" spans="2:45" x14ac:dyDescent="0.2">
      <c r="C384" s="158"/>
      <c r="D384" s="158"/>
      <c r="E384" s="153"/>
      <c r="F384" s="127"/>
      <c r="G384" s="127"/>
      <c r="H384" s="127"/>
      <c r="I384" s="127"/>
      <c r="J384" s="127"/>
      <c r="K384" s="127"/>
      <c r="L384" s="127"/>
      <c r="M384" s="191"/>
      <c r="N384" s="191"/>
      <c r="O384" s="191"/>
      <c r="P384" s="127" t="s">
        <v>79</v>
      </c>
      <c r="Q384" s="191"/>
      <c r="R384" s="191" t="s">
        <v>79</v>
      </c>
      <c r="S384" s="191"/>
      <c r="T384" s="191"/>
      <c r="U384" s="191"/>
      <c r="V384" s="191" t="s">
        <v>79</v>
      </c>
      <c r="W384" s="158"/>
      <c r="X384" s="189" t="s">
        <v>79</v>
      </c>
      <c r="AQ384" s="148" t="s">
        <v>79</v>
      </c>
      <c r="AR384" s="148"/>
      <c r="AS384" s="148"/>
    </row>
    <row r="385" spans="2:45" ht="15.6" thickBot="1" x14ac:dyDescent="0.25">
      <c r="C385" s="200"/>
      <c r="D385" s="200"/>
      <c r="E385" s="201"/>
      <c r="F385" s="200"/>
      <c r="G385" s="200"/>
      <c r="H385" s="200"/>
      <c r="I385" s="202"/>
      <c r="J385" s="200"/>
      <c r="K385" s="200"/>
      <c r="L385" s="200"/>
      <c r="M385" s="200"/>
      <c r="N385" s="200"/>
      <c r="O385" s="200"/>
      <c r="P385" s="200" t="s">
        <v>79</v>
      </c>
      <c r="Q385" s="200"/>
      <c r="R385" s="200" t="s">
        <v>79</v>
      </c>
      <c r="S385" s="200"/>
      <c r="T385" s="200"/>
      <c r="U385" s="200"/>
      <c r="V385" s="200" t="s">
        <v>79</v>
      </c>
      <c r="W385" s="200"/>
      <c r="X385" s="189" t="s">
        <v>79</v>
      </c>
      <c r="AQ385" s="148" t="s">
        <v>79</v>
      </c>
      <c r="AR385" s="148"/>
      <c r="AS385" s="148"/>
    </row>
    <row r="386" spans="2:45" ht="18" customHeight="1" thickBot="1" x14ac:dyDescent="0.25">
      <c r="B386" s="145">
        <v>10</v>
      </c>
      <c r="C386" s="200"/>
      <c r="D386" s="204" t="s">
        <v>56</v>
      </c>
      <c r="E386" s="201" t="s">
        <v>550</v>
      </c>
      <c r="F386" s="275"/>
      <c r="G386" s="276"/>
      <c r="H386" s="277"/>
      <c r="I386" s="202"/>
      <c r="J386" s="117"/>
      <c r="K386" s="205"/>
      <c r="L386" s="117"/>
      <c r="M386" s="205"/>
      <c r="N386" s="203" t="s">
        <v>79</v>
      </c>
      <c r="O386" s="205"/>
      <c r="P386" s="198">
        <f>中間シート!D382</f>
        <v>0</v>
      </c>
      <c r="Q386" s="203"/>
      <c r="R386" s="198">
        <f>中間シート!G382</f>
        <v>0</v>
      </c>
      <c r="S386" s="203"/>
      <c r="T386" s="206" t="s">
        <v>40</v>
      </c>
      <c r="U386" s="203"/>
      <c r="V386" s="198">
        <f>中間シート!H382</f>
        <v>0</v>
      </c>
      <c r="W386" s="200"/>
      <c r="X386" s="189" t="str">
        <f>IF($B386&lt;=入力シート!$F$22,""&amp;中間シート!X308,"")</f>
        <v/>
      </c>
      <c r="AQ386" s="177">
        <f>中間シート!E308</f>
        <v>0</v>
      </c>
      <c r="AR386" s="148">
        <f>IF(F386="含まれている",1,IF(F386="含まれていない",2,0))</f>
        <v>0</v>
      </c>
      <c r="AS386" s="148" t="str">
        <f>IF(中間シート!N308=1,1,中間シート!P214)</f>
        <v/>
      </c>
    </row>
    <row r="387" spans="2:45" ht="5.0999999999999996" customHeight="1" thickBot="1" x14ac:dyDescent="0.25">
      <c r="C387" s="200"/>
      <c r="D387" s="200"/>
      <c r="E387" s="201"/>
      <c r="F387" s="203"/>
      <c r="G387" s="203"/>
      <c r="H387" s="203"/>
      <c r="I387" s="202"/>
      <c r="J387" s="205"/>
      <c r="K387" s="205"/>
      <c r="L387" s="205"/>
      <c r="M387" s="205"/>
      <c r="N387" s="203" t="s">
        <v>79</v>
      </c>
      <c r="O387" s="205"/>
      <c r="P387" s="203" t="s">
        <v>79</v>
      </c>
      <c r="Q387" s="203"/>
      <c r="R387" s="203" t="s">
        <v>79</v>
      </c>
      <c r="S387" s="203"/>
      <c r="T387" s="203"/>
      <c r="U387" s="203"/>
      <c r="V387" s="203" t="s">
        <v>79</v>
      </c>
      <c r="W387" s="200"/>
      <c r="X387" s="189" t="s">
        <v>79</v>
      </c>
      <c r="AQ387" s="148" t="s">
        <v>79</v>
      </c>
      <c r="AR387" s="148"/>
      <c r="AS387" s="148"/>
    </row>
    <row r="388" spans="2:45" ht="18" customHeight="1" thickBot="1" x14ac:dyDescent="0.25">
      <c r="B388" s="145">
        <v>10</v>
      </c>
      <c r="C388" s="200"/>
      <c r="D388" s="200"/>
      <c r="E388" s="201" t="s">
        <v>551</v>
      </c>
      <c r="F388" s="275"/>
      <c r="G388" s="276"/>
      <c r="H388" s="277"/>
      <c r="I388" s="202"/>
      <c r="J388" s="117"/>
      <c r="K388" s="205"/>
      <c r="L388" s="117"/>
      <c r="M388" s="205"/>
      <c r="N388" s="203" t="s">
        <v>79</v>
      </c>
      <c r="O388" s="205"/>
      <c r="P388" s="203" t="s">
        <v>79</v>
      </c>
      <c r="Q388" s="203"/>
      <c r="R388" s="203" t="s">
        <v>79</v>
      </c>
      <c r="S388" s="203"/>
      <c r="T388" s="203"/>
      <c r="U388" s="203"/>
      <c r="V388" s="203" t="s">
        <v>79</v>
      </c>
      <c r="W388" s="200"/>
      <c r="X388" s="189" t="str">
        <f>IF($B388&lt;=入力シート!$F$22,""&amp;中間シート!X309,"")</f>
        <v/>
      </c>
      <c r="AQ388" s="177">
        <f>中間シート!E309</f>
        <v>0</v>
      </c>
      <c r="AR388" s="148">
        <f>IF(F388="含まれている",1,IF(F388="含まれていない",2,0))</f>
        <v>0</v>
      </c>
      <c r="AS388" s="148" t="str">
        <f>IF(中間シート!N309=1,1,中間シート!P215)</f>
        <v/>
      </c>
    </row>
    <row r="389" spans="2:45" ht="5.0999999999999996" customHeight="1" thickBot="1" x14ac:dyDescent="0.25">
      <c r="C389" s="200"/>
      <c r="D389" s="200"/>
      <c r="E389" s="201"/>
      <c r="F389" s="203"/>
      <c r="G389" s="203"/>
      <c r="H389" s="203"/>
      <c r="I389" s="202"/>
      <c r="J389" s="205"/>
      <c r="K389" s="205"/>
      <c r="L389" s="205"/>
      <c r="M389" s="205"/>
      <c r="N389" s="203" t="s">
        <v>79</v>
      </c>
      <c r="O389" s="205"/>
      <c r="P389" s="203" t="s">
        <v>79</v>
      </c>
      <c r="Q389" s="203"/>
      <c r="R389" s="203" t="s">
        <v>79</v>
      </c>
      <c r="S389" s="203"/>
      <c r="T389" s="203"/>
      <c r="U389" s="203"/>
      <c r="V389" s="203" t="s">
        <v>79</v>
      </c>
      <c r="W389" s="200"/>
      <c r="X389" s="189" t="s">
        <v>79</v>
      </c>
      <c r="AQ389" s="177" t="s">
        <v>79</v>
      </c>
      <c r="AR389" s="148"/>
      <c r="AS389" s="148"/>
    </row>
    <row r="390" spans="2:45" ht="18" customHeight="1" thickBot="1" x14ac:dyDescent="0.25">
      <c r="B390" s="145">
        <v>10</v>
      </c>
      <c r="C390" s="200"/>
      <c r="D390" s="200"/>
      <c r="E390" s="201" t="s">
        <v>552</v>
      </c>
      <c r="F390" s="275"/>
      <c r="G390" s="276"/>
      <c r="H390" s="277"/>
      <c r="I390" s="202"/>
      <c r="J390" s="117"/>
      <c r="K390" s="205"/>
      <c r="L390" s="117"/>
      <c r="M390" s="205"/>
      <c r="N390" s="203" t="s">
        <v>79</v>
      </c>
      <c r="O390" s="205"/>
      <c r="P390" s="203" t="s">
        <v>79</v>
      </c>
      <c r="Q390" s="203"/>
      <c r="R390" s="203" t="s">
        <v>79</v>
      </c>
      <c r="S390" s="203"/>
      <c r="T390" s="203"/>
      <c r="U390" s="203"/>
      <c r="V390" s="203" t="s">
        <v>79</v>
      </c>
      <c r="W390" s="200"/>
      <c r="X390" s="189" t="str">
        <f>IF($B390&lt;=入力シート!$F$22,""&amp;中間シート!X310,"")</f>
        <v/>
      </c>
      <c r="AQ390" s="177">
        <f>中間シート!E310</f>
        <v>0</v>
      </c>
      <c r="AR390" s="148">
        <f>IF(F390="含まれている",1,IF(F390="含まれていない",2,0))</f>
        <v>0</v>
      </c>
      <c r="AS390" s="148" t="str">
        <f>IF(中間シート!N310=1,1,中間シート!P216)</f>
        <v/>
      </c>
    </row>
    <row r="391" spans="2:45" x14ac:dyDescent="0.2">
      <c r="C391" s="200"/>
      <c r="D391" s="200"/>
      <c r="E391" s="201"/>
      <c r="F391" s="205"/>
      <c r="G391" s="205"/>
      <c r="H391" s="205"/>
      <c r="I391" s="205"/>
      <c r="J391" s="205"/>
      <c r="K391" s="205"/>
      <c r="L391" s="205"/>
      <c r="M391" s="203"/>
      <c r="N391" s="203"/>
      <c r="O391" s="203"/>
      <c r="P391" s="205" t="s">
        <v>79</v>
      </c>
      <c r="Q391" s="203"/>
      <c r="R391" s="203" t="s">
        <v>79</v>
      </c>
      <c r="S391" s="203"/>
      <c r="T391" s="203"/>
      <c r="U391" s="203"/>
      <c r="V391" s="203" t="s">
        <v>79</v>
      </c>
      <c r="W391" s="200"/>
      <c r="X391" s="189" t="s">
        <v>79</v>
      </c>
      <c r="AQ391" s="148" t="s">
        <v>79</v>
      </c>
      <c r="AR391" s="148"/>
      <c r="AS391" s="148"/>
    </row>
    <row r="392" spans="2:45" ht="15.6" thickBot="1" x14ac:dyDescent="0.25">
      <c r="C392" s="158"/>
      <c r="D392" s="158"/>
      <c r="E392" s="197"/>
      <c r="F392" s="191"/>
      <c r="G392" s="191"/>
      <c r="H392" s="191"/>
      <c r="I392" s="192"/>
      <c r="J392" s="191"/>
      <c r="K392" s="191"/>
      <c r="L392" s="191"/>
      <c r="M392" s="191"/>
      <c r="N392" s="191"/>
      <c r="O392" s="191"/>
      <c r="P392" s="191" t="s">
        <v>79</v>
      </c>
      <c r="Q392" s="191"/>
      <c r="R392" s="191" t="s">
        <v>79</v>
      </c>
      <c r="S392" s="191"/>
      <c r="T392" s="191"/>
      <c r="U392" s="191"/>
      <c r="V392" s="191" t="s">
        <v>79</v>
      </c>
      <c r="W392" s="158"/>
      <c r="X392" s="189" t="s">
        <v>79</v>
      </c>
      <c r="AQ392" s="148" t="s">
        <v>79</v>
      </c>
      <c r="AR392" s="148"/>
      <c r="AS392" s="148"/>
    </row>
    <row r="393" spans="2:45" ht="18" customHeight="1" thickBot="1" x14ac:dyDescent="0.25">
      <c r="B393" s="145">
        <v>11</v>
      </c>
      <c r="C393" s="158"/>
      <c r="D393" s="152" t="s">
        <v>57</v>
      </c>
      <c r="E393" s="197" t="s">
        <v>550</v>
      </c>
      <c r="F393" s="275"/>
      <c r="G393" s="276"/>
      <c r="H393" s="277"/>
      <c r="I393" s="192"/>
      <c r="J393" s="117"/>
      <c r="K393" s="127"/>
      <c r="L393" s="117"/>
      <c r="M393" s="127"/>
      <c r="N393" s="158"/>
      <c r="O393" s="127"/>
      <c r="P393" s="198">
        <f>中間シート!D383</f>
        <v>0</v>
      </c>
      <c r="Q393" s="191"/>
      <c r="R393" s="198">
        <f>中間シート!G383</f>
        <v>0</v>
      </c>
      <c r="S393" s="191"/>
      <c r="T393" s="199" t="s">
        <v>40</v>
      </c>
      <c r="U393" s="191"/>
      <c r="V393" s="198">
        <f>中間シート!H383</f>
        <v>0</v>
      </c>
      <c r="W393" s="158"/>
      <c r="X393" s="189" t="str">
        <f>IF($B393&lt;=入力シート!$F$22,""&amp;中間シート!X311,"")</f>
        <v/>
      </c>
      <c r="AQ393" s="177">
        <f>中間シート!E311</f>
        <v>0</v>
      </c>
      <c r="AR393" s="148">
        <f>IF(F393="含まれている",1,IF(F393="含まれていない",2,0))</f>
        <v>0</v>
      </c>
      <c r="AS393" s="148" t="str">
        <f>IF(中間シート!N311=1,1,中間シート!P217)</f>
        <v/>
      </c>
    </row>
    <row r="394" spans="2:45" ht="5.0999999999999996" customHeight="1" thickBot="1" x14ac:dyDescent="0.25">
      <c r="C394" s="158"/>
      <c r="D394" s="158"/>
      <c r="E394" s="197"/>
      <c r="F394" s="191"/>
      <c r="G394" s="191"/>
      <c r="H394" s="191"/>
      <c r="I394" s="192"/>
      <c r="J394" s="279"/>
      <c r="K394" s="127"/>
      <c r="L394" s="127"/>
      <c r="M394" s="127"/>
      <c r="N394" s="158"/>
      <c r="O394" s="127"/>
      <c r="P394" s="191" t="s">
        <v>79</v>
      </c>
      <c r="Q394" s="191"/>
      <c r="R394" s="191" t="s">
        <v>79</v>
      </c>
      <c r="S394" s="191"/>
      <c r="T394" s="191"/>
      <c r="U394" s="191"/>
      <c r="V394" s="191" t="s">
        <v>79</v>
      </c>
      <c r="W394" s="158"/>
      <c r="X394" s="189" t="s">
        <v>79</v>
      </c>
      <c r="AQ394" s="148" t="s">
        <v>79</v>
      </c>
      <c r="AR394" s="148"/>
      <c r="AS394" s="148"/>
    </row>
    <row r="395" spans="2:45" ht="18" customHeight="1" thickBot="1" x14ac:dyDescent="0.25">
      <c r="B395" s="145">
        <v>11</v>
      </c>
      <c r="C395" s="158"/>
      <c r="D395" s="158"/>
      <c r="E395" s="197" t="s">
        <v>551</v>
      </c>
      <c r="F395" s="275"/>
      <c r="G395" s="276"/>
      <c r="H395" s="277"/>
      <c r="I395" s="192"/>
      <c r="J395" s="117"/>
      <c r="K395" s="127"/>
      <c r="L395" s="117"/>
      <c r="M395" s="127"/>
      <c r="N395" s="158"/>
      <c r="O395" s="127"/>
      <c r="P395" s="191" t="s">
        <v>79</v>
      </c>
      <c r="Q395" s="191"/>
      <c r="R395" s="191" t="s">
        <v>79</v>
      </c>
      <c r="S395" s="191"/>
      <c r="T395" s="191"/>
      <c r="U395" s="191"/>
      <c r="V395" s="191" t="s">
        <v>79</v>
      </c>
      <c r="W395" s="158"/>
      <c r="X395" s="189" t="str">
        <f>IF($B395&lt;=入力シート!$F$22,""&amp;中間シート!X312,"")</f>
        <v/>
      </c>
      <c r="AQ395" s="177">
        <f>中間シート!E312</f>
        <v>0</v>
      </c>
      <c r="AR395" s="148">
        <f>IF(F395="含まれている",1,IF(F395="含まれていない",2,0))</f>
        <v>0</v>
      </c>
      <c r="AS395" s="148" t="str">
        <f>IF(中間シート!N312=1,1,中間シート!P218)</f>
        <v/>
      </c>
    </row>
    <row r="396" spans="2:45" ht="5.0999999999999996" customHeight="1" thickBot="1" x14ac:dyDescent="0.25">
      <c r="C396" s="158"/>
      <c r="D396" s="158"/>
      <c r="E396" s="197"/>
      <c r="F396" s="191"/>
      <c r="G396" s="191"/>
      <c r="H396" s="191"/>
      <c r="I396" s="192"/>
      <c r="J396" s="127"/>
      <c r="K396" s="127"/>
      <c r="L396" s="127"/>
      <c r="M396" s="127"/>
      <c r="N396" s="158"/>
      <c r="O396" s="127"/>
      <c r="P396" s="191" t="s">
        <v>79</v>
      </c>
      <c r="Q396" s="191"/>
      <c r="R396" s="191" t="s">
        <v>79</v>
      </c>
      <c r="S396" s="191"/>
      <c r="T396" s="191"/>
      <c r="U396" s="191"/>
      <c r="V396" s="191" t="s">
        <v>79</v>
      </c>
      <c r="W396" s="158"/>
      <c r="X396" s="189" t="s">
        <v>79</v>
      </c>
      <c r="AQ396" s="177" t="s">
        <v>79</v>
      </c>
      <c r="AR396" s="148"/>
      <c r="AS396" s="148"/>
    </row>
    <row r="397" spans="2:45" ht="18" customHeight="1" thickBot="1" x14ac:dyDescent="0.25">
      <c r="B397" s="145">
        <v>11</v>
      </c>
      <c r="C397" s="158"/>
      <c r="D397" s="158"/>
      <c r="E397" s="197" t="s">
        <v>552</v>
      </c>
      <c r="F397" s="275"/>
      <c r="G397" s="276"/>
      <c r="H397" s="277"/>
      <c r="I397" s="192"/>
      <c r="J397" s="117"/>
      <c r="K397" s="127"/>
      <c r="L397" s="117"/>
      <c r="M397" s="127"/>
      <c r="N397" s="158"/>
      <c r="O397" s="127"/>
      <c r="P397" s="191" t="s">
        <v>79</v>
      </c>
      <c r="Q397" s="191"/>
      <c r="R397" s="191" t="s">
        <v>79</v>
      </c>
      <c r="S397" s="191"/>
      <c r="T397" s="191"/>
      <c r="U397" s="191"/>
      <c r="V397" s="191" t="s">
        <v>79</v>
      </c>
      <c r="W397" s="158"/>
      <c r="X397" s="189" t="str">
        <f>IF($B397&lt;=入力シート!$F$22,""&amp;中間シート!X313,"")</f>
        <v/>
      </c>
      <c r="AQ397" s="177">
        <f>中間シート!E313</f>
        <v>0</v>
      </c>
      <c r="AR397" s="148">
        <f>IF(F397="含まれている",1,IF(F397="含まれていない",2,0))</f>
        <v>0</v>
      </c>
      <c r="AS397" s="148" t="str">
        <f>IF(中間シート!N313=1,1,中間シート!P219)</f>
        <v/>
      </c>
    </row>
    <row r="398" spans="2:45" x14ac:dyDescent="0.2">
      <c r="C398" s="158"/>
      <c r="D398" s="158"/>
      <c r="E398" s="153"/>
      <c r="F398" s="127"/>
      <c r="G398" s="127"/>
      <c r="H398" s="127"/>
      <c r="I398" s="127"/>
      <c r="J398" s="127"/>
      <c r="K398" s="127"/>
      <c r="L398" s="127"/>
      <c r="M398" s="191"/>
      <c r="N398" s="191"/>
      <c r="O398" s="191"/>
      <c r="P398" s="127" t="s">
        <v>79</v>
      </c>
      <c r="Q398" s="191"/>
      <c r="R398" s="191" t="s">
        <v>79</v>
      </c>
      <c r="S398" s="191"/>
      <c r="T398" s="191"/>
      <c r="U398" s="191"/>
      <c r="V398" s="191" t="s">
        <v>79</v>
      </c>
      <c r="W398" s="158"/>
      <c r="X398" s="189" t="s">
        <v>79</v>
      </c>
      <c r="AQ398" s="148" t="s">
        <v>79</v>
      </c>
      <c r="AR398" s="148"/>
      <c r="AS398" s="148"/>
    </row>
    <row r="399" spans="2:45" ht="15.6" thickBot="1" x14ac:dyDescent="0.25">
      <c r="C399" s="200"/>
      <c r="D399" s="200"/>
      <c r="E399" s="201"/>
      <c r="F399" s="200"/>
      <c r="G399" s="200"/>
      <c r="H399" s="200"/>
      <c r="I399" s="202"/>
      <c r="J399" s="200"/>
      <c r="K399" s="200"/>
      <c r="L399" s="200"/>
      <c r="M399" s="200"/>
      <c r="N399" s="200"/>
      <c r="O399" s="200"/>
      <c r="P399" s="200" t="s">
        <v>79</v>
      </c>
      <c r="Q399" s="200"/>
      <c r="R399" s="200" t="s">
        <v>79</v>
      </c>
      <c r="S399" s="200"/>
      <c r="T399" s="200"/>
      <c r="U399" s="200"/>
      <c r="V399" s="200" t="s">
        <v>79</v>
      </c>
      <c r="W399" s="200"/>
      <c r="X399" s="189" t="s">
        <v>79</v>
      </c>
      <c r="AQ399" s="148" t="s">
        <v>79</v>
      </c>
      <c r="AR399" s="148"/>
      <c r="AS399" s="148"/>
    </row>
    <row r="400" spans="2:45" ht="18" customHeight="1" thickBot="1" x14ac:dyDescent="0.25">
      <c r="B400" s="145">
        <v>12</v>
      </c>
      <c r="C400" s="200"/>
      <c r="D400" s="204" t="s">
        <v>58</v>
      </c>
      <c r="E400" s="201" t="s">
        <v>550</v>
      </c>
      <c r="F400" s="275"/>
      <c r="G400" s="276"/>
      <c r="H400" s="277"/>
      <c r="I400" s="202"/>
      <c r="J400" s="117"/>
      <c r="K400" s="205"/>
      <c r="L400" s="117"/>
      <c r="M400" s="205"/>
      <c r="N400" s="203" t="s">
        <v>79</v>
      </c>
      <c r="O400" s="205"/>
      <c r="P400" s="198">
        <f>中間シート!D384</f>
        <v>0</v>
      </c>
      <c r="Q400" s="203"/>
      <c r="R400" s="198">
        <f>中間シート!G384</f>
        <v>0</v>
      </c>
      <c r="S400" s="203"/>
      <c r="T400" s="206" t="s">
        <v>40</v>
      </c>
      <c r="U400" s="203"/>
      <c r="V400" s="198">
        <f>中間シート!H384</f>
        <v>0</v>
      </c>
      <c r="W400" s="200"/>
      <c r="X400" s="189" t="str">
        <f>IF($B400&lt;=入力シート!$F$22,""&amp;中間シート!X314,"")</f>
        <v/>
      </c>
      <c r="AQ400" s="177">
        <f>中間シート!E314</f>
        <v>0</v>
      </c>
      <c r="AR400" s="148">
        <f>IF(F400="含まれている",1,IF(F400="含まれていない",2,0))</f>
        <v>0</v>
      </c>
      <c r="AS400" s="148" t="str">
        <f>IF(中間シート!N314=1,1,中間シート!P220)</f>
        <v/>
      </c>
    </row>
    <row r="401" spans="2:45" ht="5.0999999999999996" customHeight="1" thickBot="1" x14ac:dyDescent="0.25">
      <c r="C401" s="200"/>
      <c r="D401" s="200"/>
      <c r="E401" s="201"/>
      <c r="F401" s="203"/>
      <c r="G401" s="203"/>
      <c r="H401" s="203"/>
      <c r="I401" s="202"/>
      <c r="J401" s="205"/>
      <c r="K401" s="205"/>
      <c r="L401" s="205"/>
      <c r="M401" s="205"/>
      <c r="N401" s="203" t="s">
        <v>79</v>
      </c>
      <c r="O401" s="205"/>
      <c r="P401" s="203" t="s">
        <v>79</v>
      </c>
      <c r="Q401" s="203"/>
      <c r="R401" s="203" t="s">
        <v>79</v>
      </c>
      <c r="S401" s="203"/>
      <c r="T401" s="203"/>
      <c r="U401" s="203"/>
      <c r="V401" s="203" t="s">
        <v>79</v>
      </c>
      <c r="W401" s="200"/>
      <c r="X401" s="189" t="s">
        <v>79</v>
      </c>
      <c r="AQ401" s="148" t="s">
        <v>79</v>
      </c>
      <c r="AR401" s="148"/>
      <c r="AS401" s="148"/>
    </row>
    <row r="402" spans="2:45" ht="18" customHeight="1" thickBot="1" x14ac:dyDescent="0.25">
      <c r="B402" s="145">
        <v>12</v>
      </c>
      <c r="C402" s="200"/>
      <c r="D402" s="200"/>
      <c r="E402" s="201" t="s">
        <v>551</v>
      </c>
      <c r="F402" s="275"/>
      <c r="G402" s="276"/>
      <c r="H402" s="277"/>
      <c r="I402" s="202"/>
      <c r="J402" s="117"/>
      <c r="K402" s="205"/>
      <c r="L402" s="117"/>
      <c r="M402" s="205"/>
      <c r="N402" s="203" t="s">
        <v>79</v>
      </c>
      <c r="O402" s="205"/>
      <c r="P402" s="203" t="s">
        <v>79</v>
      </c>
      <c r="Q402" s="203"/>
      <c r="R402" s="203" t="s">
        <v>79</v>
      </c>
      <c r="S402" s="203"/>
      <c r="T402" s="203"/>
      <c r="U402" s="203"/>
      <c r="V402" s="203" t="s">
        <v>79</v>
      </c>
      <c r="W402" s="200"/>
      <c r="X402" s="189" t="str">
        <f>IF($B402&lt;=入力シート!$F$22,""&amp;中間シート!X315,"")</f>
        <v/>
      </c>
      <c r="AQ402" s="177">
        <f>中間シート!E315</f>
        <v>0</v>
      </c>
      <c r="AR402" s="148">
        <f>IF(F402="含まれている",1,IF(F402="含まれていない",2,0))</f>
        <v>0</v>
      </c>
      <c r="AS402" s="148" t="str">
        <f>IF(中間シート!N315=1,1,中間シート!P221)</f>
        <v/>
      </c>
    </row>
    <row r="403" spans="2:45" ht="5.0999999999999996" customHeight="1" thickBot="1" x14ac:dyDescent="0.25">
      <c r="C403" s="200"/>
      <c r="D403" s="200"/>
      <c r="E403" s="201"/>
      <c r="F403" s="203"/>
      <c r="G403" s="203"/>
      <c r="H403" s="203"/>
      <c r="I403" s="202"/>
      <c r="J403" s="205"/>
      <c r="K403" s="205"/>
      <c r="L403" s="205"/>
      <c r="M403" s="205"/>
      <c r="N403" s="203" t="s">
        <v>79</v>
      </c>
      <c r="O403" s="205"/>
      <c r="P403" s="203" t="s">
        <v>79</v>
      </c>
      <c r="Q403" s="203"/>
      <c r="R403" s="203" t="s">
        <v>79</v>
      </c>
      <c r="S403" s="203"/>
      <c r="T403" s="203"/>
      <c r="U403" s="203"/>
      <c r="V403" s="203" t="s">
        <v>79</v>
      </c>
      <c r="W403" s="200"/>
      <c r="X403" s="189" t="s">
        <v>79</v>
      </c>
      <c r="AQ403" s="177" t="s">
        <v>79</v>
      </c>
      <c r="AR403" s="148"/>
      <c r="AS403" s="148"/>
    </row>
    <row r="404" spans="2:45" ht="18" customHeight="1" thickBot="1" x14ac:dyDescent="0.25">
      <c r="B404" s="145">
        <v>12</v>
      </c>
      <c r="C404" s="200"/>
      <c r="D404" s="200"/>
      <c r="E404" s="201" t="s">
        <v>552</v>
      </c>
      <c r="F404" s="275"/>
      <c r="G404" s="276"/>
      <c r="H404" s="277"/>
      <c r="I404" s="202"/>
      <c r="J404" s="117"/>
      <c r="K404" s="205"/>
      <c r="L404" s="117"/>
      <c r="M404" s="205"/>
      <c r="N404" s="203" t="s">
        <v>79</v>
      </c>
      <c r="O404" s="205"/>
      <c r="P404" s="203" t="s">
        <v>79</v>
      </c>
      <c r="Q404" s="203"/>
      <c r="R404" s="203" t="s">
        <v>79</v>
      </c>
      <c r="S404" s="203"/>
      <c r="T404" s="203"/>
      <c r="U404" s="203"/>
      <c r="V404" s="203" t="s">
        <v>79</v>
      </c>
      <c r="W404" s="200"/>
      <c r="X404" s="189" t="str">
        <f>IF($B404&lt;=入力シート!$F$22,""&amp;中間シート!X316,"")</f>
        <v/>
      </c>
      <c r="AQ404" s="177">
        <f>中間シート!E316</f>
        <v>0</v>
      </c>
      <c r="AR404" s="148">
        <f>IF(F404="含まれている",1,IF(F404="含まれていない",2,0))</f>
        <v>0</v>
      </c>
      <c r="AS404" s="148" t="str">
        <f>IF(中間シート!N316=1,1,中間シート!P222)</f>
        <v/>
      </c>
    </row>
    <row r="405" spans="2:45" x14ac:dyDescent="0.2">
      <c r="C405" s="200"/>
      <c r="D405" s="200"/>
      <c r="E405" s="201"/>
      <c r="F405" s="205"/>
      <c r="G405" s="205"/>
      <c r="H405" s="205"/>
      <c r="I405" s="205"/>
      <c r="J405" s="205"/>
      <c r="K405" s="205"/>
      <c r="L405" s="205"/>
      <c r="M405" s="203"/>
      <c r="N405" s="203"/>
      <c r="O405" s="203"/>
      <c r="P405" s="205" t="s">
        <v>79</v>
      </c>
      <c r="Q405" s="203"/>
      <c r="R405" s="203" t="s">
        <v>79</v>
      </c>
      <c r="S405" s="203"/>
      <c r="T405" s="203"/>
      <c r="U405" s="203"/>
      <c r="V405" s="203" t="s">
        <v>79</v>
      </c>
      <c r="W405" s="200"/>
      <c r="X405" s="189" t="s">
        <v>79</v>
      </c>
      <c r="AQ405" s="148" t="s">
        <v>79</v>
      </c>
      <c r="AR405" s="148"/>
      <c r="AS405" s="148"/>
    </row>
    <row r="406" spans="2:45" ht="15.6" thickBot="1" x14ac:dyDescent="0.25">
      <c r="C406" s="158"/>
      <c r="D406" s="158"/>
      <c r="E406" s="197"/>
      <c r="F406" s="191"/>
      <c r="G406" s="191"/>
      <c r="H406" s="191"/>
      <c r="I406" s="192"/>
      <c r="J406" s="191"/>
      <c r="K406" s="191"/>
      <c r="L406" s="191"/>
      <c r="M406" s="191"/>
      <c r="N406" s="191"/>
      <c r="O406" s="191"/>
      <c r="P406" s="191" t="s">
        <v>79</v>
      </c>
      <c r="Q406" s="191"/>
      <c r="R406" s="191" t="s">
        <v>79</v>
      </c>
      <c r="S406" s="191"/>
      <c r="T406" s="191"/>
      <c r="U406" s="191"/>
      <c r="V406" s="191" t="s">
        <v>79</v>
      </c>
      <c r="W406" s="158"/>
      <c r="X406" s="189" t="s">
        <v>79</v>
      </c>
      <c r="AQ406" s="148" t="s">
        <v>79</v>
      </c>
      <c r="AR406" s="148"/>
      <c r="AS406" s="148"/>
    </row>
    <row r="407" spans="2:45" ht="18" customHeight="1" thickBot="1" x14ac:dyDescent="0.25">
      <c r="B407" s="145">
        <v>13</v>
      </c>
      <c r="C407" s="158"/>
      <c r="D407" s="152" t="s">
        <v>59</v>
      </c>
      <c r="E407" s="197" t="s">
        <v>550</v>
      </c>
      <c r="F407" s="275"/>
      <c r="G407" s="276"/>
      <c r="H407" s="277"/>
      <c r="I407" s="192"/>
      <c r="J407" s="117"/>
      <c r="K407" s="127"/>
      <c r="L407" s="117"/>
      <c r="M407" s="127"/>
      <c r="N407" s="158"/>
      <c r="O407" s="127"/>
      <c r="P407" s="198">
        <f>中間シート!D385</f>
        <v>0</v>
      </c>
      <c r="Q407" s="191"/>
      <c r="R407" s="198">
        <f>中間シート!G385</f>
        <v>0</v>
      </c>
      <c r="S407" s="191"/>
      <c r="T407" s="199" t="s">
        <v>40</v>
      </c>
      <c r="U407" s="191"/>
      <c r="V407" s="198">
        <f>中間シート!H385</f>
        <v>0</v>
      </c>
      <c r="W407" s="158"/>
      <c r="X407" s="189" t="str">
        <f>IF($B407&lt;=入力シート!$F$22,""&amp;中間シート!X317,"")</f>
        <v/>
      </c>
      <c r="AQ407" s="177">
        <f>中間シート!E317</f>
        <v>0</v>
      </c>
      <c r="AR407" s="148">
        <f>IF(F407="含まれている",1,IF(F407="含まれていない",2,0))</f>
        <v>0</v>
      </c>
      <c r="AS407" s="148" t="str">
        <f>IF(中間シート!N317=1,1,中間シート!P223)</f>
        <v/>
      </c>
    </row>
    <row r="408" spans="2:45" ht="5.0999999999999996" customHeight="1" thickBot="1" x14ac:dyDescent="0.25">
      <c r="C408" s="158"/>
      <c r="D408" s="158"/>
      <c r="E408" s="197"/>
      <c r="F408" s="191"/>
      <c r="G408" s="191"/>
      <c r="H408" s="191"/>
      <c r="I408" s="192"/>
      <c r="J408" s="127"/>
      <c r="K408" s="127"/>
      <c r="L408" s="127"/>
      <c r="M408" s="127"/>
      <c r="N408" s="158"/>
      <c r="O408" s="127"/>
      <c r="P408" s="191" t="s">
        <v>79</v>
      </c>
      <c r="Q408" s="191"/>
      <c r="R408" s="191" t="s">
        <v>79</v>
      </c>
      <c r="S408" s="191"/>
      <c r="T408" s="191"/>
      <c r="U408" s="191"/>
      <c r="V408" s="191" t="s">
        <v>79</v>
      </c>
      <c r="W408" s="158"/>
      <c r="X408" s="189" t="s">
        <v>79</v>
      </c>
      <c r="AQ408" s="148" t="s">
        <v>79</v>
      </c>
      <c r="AR408" s="148"/>
      <c r="AS408" s="148"/>
    </row>
    <row r="409" spans="2:45" ht="18" customHeight="1" thickBot="1" x14ac:dyDescent="0.25">
      <c r="B409" s="145">
        <v>13</v>
      </c>
      <c r="C409" s="158"/>
      <c r="D409" s="158"/>
      <c r="E409" s="197" t="s">
        <v>551</v>
      </c>
      <c r="F409" s="275"/>
      <c r="G409" s="276"/>
      <c r="H409" s="277"/>
      <c r="I409" s="192"/>
      <c r="J409" s="117"/>
      <c r="K409" s="127"/>
      <c r="L409" s="117"/>
      <c r="M409" s="127"/>
      <c r="N409" s="158"/>
      <c r="O409" s="127"/>
      <c r="P409" s="191" t="s">
        <v>79</v>
      </c>
      <c r="Q409" s="191"/>
      <c r="R409" s="191" t="s">
        <v>79</v>
      </c>
      <c r="S409" s="191"/>
      <c r="T409" s="191"/>
      <c r="U409" s="191"/>
      <c r="V409" s="191" t="s">
        <v>79</v>
      </c>
      <c r="W409" s="158"/>
      <c r="X409" s="189" t="str">
        <f>IF($B409&lt;=入力シート!$F$22,""&amp;中間シート!X318,"")</f>
        <v/>
      </c>
      <c r="AQ409" s="177">
        <f>中間シート!E318</f>
        <v>0</v>
      </c>
      <c r="AR409" s="148">
        <f>IF(F409="含まれている",1,IF(F409="含まれていない",2,0))</f>
        <v>0</v>
      </c>
      <c r="AS409" s="148" t="str">
        <f>IF(中間シート!N318=1,1,中間シート!P224)</f>
        <v/>
      </c>
    </row>
    <row r="410" spans="2:45" ht="5.0999999999999996" customHeight="1" thickBot="1" x14ac:dyDescent="0.25">
      <c r="C410" s="158"/>
      <c r="D410" s="158"/>
      <c r="E410" s="197"/>
      <c r="F410" s="191"/>
      <c r="G410" s="191"/>
      <c r="H410" s="191"/>
      <c r="I410" s="192"/>
      <c r="J410" s="127"/>
      <c r="K410" s="127"/>
      <c r="L410" s="127"/>
      <c r="M410" s="127"/>
      <c r="N410" s="158"/>
      <c r="O410" s="127"/>
      <c r="P410" s="191" t="s">
        <v>79</v>
      </c>
      <c r="Q410" s="191"/>
      <c r="R410" s="191" t="s">
        <v>79</v>
      </c>
      <c r="S410" s="191"/>
      <c r="T410" s="191"/>
      <c r="U410" s="191"/>
      <c r="V410" s="191" t="s">
        <v>79</v>
      </c>
      <c r="W410" s="158"/>
      <c r="X410" s="189" t="s">
        <v>79</v>
      </c>
      <c r="AQ410" s="177" t="s">
        <v>79</v>
      </c>
      <c r="AR410" s="148"/>
      <c r="AS410" s="148"/>
    </row>
    <row r="411" spans="2:45" ht="18" customHeight="1" thickBot="1" x14ac:dyDescent="0.25">
      <c r="B411" s="145">
        <v>13</v>
      </c>
      <c r="C411" s="158"/>
      <c r="D411" s="158"/>
      <c r="E411" s="197" t="s">
        <v>552</v>
      </c>
      <c r="F411" s="275"/>
      <c r="G411" s="276"/>
      <c r="H411" s="277"/>
      <c r="I411" s="192"/>
      <c r="J411" s="117"/>
      <c r="K411" s="127"/>
      <c r="L411" s="117"/>
      <c r="M411" s="127"/>
      <c r="N411" s="158"/>
      <c r="O411" s="127"/>
      <c r="P411" s="191" t="s">
        <v>79</v>
      </c>
      <c r="Q411" s="191"/>
      <c r="R411" s="191" t="s">
        <v>79</v>
      </c>
      <c r="S411" s="191"/>
      <c r="T411" s="191"/>
      <c r="U411" s="191"/>
      <c r="V411" s="191" t="s">
        <v>79</v>
      </c>
      <c r="W411" s="158"/>
      <c r="X411" s="189" t="str">
        <f>IF($B411&lt;=入力シート!$F$22,""&amp;中間シート!X319,"")</f>
        <v/>
      </c>
      <c r="AQ411" s="177">
        <f>中間シート!E319</f>
        <v>0</v>
      </c>
      <c r="AR411" s="148">
        <f>IF(F411="含まれている",1,IF(F411="含まれていない",2,0))</f>
        <v>0</v>
      </c>
      <c r="AS411" s="148" t="str">
        <f>IF(中間シート!N319=1,1,中間シート!P225)</f>
        <v/>
      </c>
    </row>
    <row r="412" spans="2:45" x14ac:dyDescent="0.2">
      <c r="C412" s="158"/>
      <c r="D412" s="158"/>
      <c r="E412" s="153"/>
      <c r="F412" s="127"/>
      <c r="G412" s="127"/>
      <c r="H412" s="127"/>
      <c r="I412" s="127"/>
      <c r="J412" s="127"/>
      <c r="K412" s="127"/>
      <c r="L412" s="127"/>
      <c r="M412" s="191"/>
      <c r="N412" s="191"/>
      <c r="O412" s="191"/>
      <c r="P412" s="127" t="s">
        <v>79</v>
      </c>
      <c r="Q412" s="191"/>
      <c r="R412" s="191" t="s">
        <v>79</v>
      </c>
      <c r="S412" s="191"/>
      <c r="T412" s="191"/>
      <c r="U412" s="191"/>
      <c r="V412" s="191" t="s">
        <v>79</v>
      </c>
      <c r="W412" s="158"/>
      <c r="X412" s="189" t="s">
        <v>79</v>
      </c>
      <c r="AQ412" s="148" t="s">
        <v>79</v>
      </c>
      <c r="AR412" s="148"/>
      <c r="AS412" s="148"/>
    </row>
    <row r="413" spans="2:45" ht="15.6" thickBot="1" x14ac:dyDescent="0.25">
      <c r="C413" s="200"/>
      <c r="D413" s="200"/>
      <c r="E413" s="201"/>
      <c r="F413" s="200"/>
      <c r="G413" s="200"/>
      <c r="H413" s="200"/>
      <c r="I413" s="202"/>
      <c r="J413" s="200"/>
      <c r="K413" s="200"/>
      <c r="L413" s="200"/>
      <c r="M413" s="200"/>
      <c r="N413" s="200"/>
      <c r="O413" s="200"/>
      <c r="P413" s="200" t="s">
        <v>79</v>
      </c>
      <c r="Q413" s="200"/>
      <c r="R413" s="200" t="s">
        <v>79</v>
      </c>
      <c r="S413" s="200"/>
      <c r="T413" s="200"/>
      <c r="U413" s="200"/>
      <c r="V413" s="200" t="s">
        <v>79</v>
      </c>
      <c r="W413" s="200"/>
      <c r="X413" s="189" t="s">
        <v>79</v>
      </c>
      <c r="AQ413" s="148" t="s">
        <v>79</v>
      </c>
      <c r="AR413" s="148"/>
      <c r="AS413" s="148"/>
    </row>
    <row r="414" spans="2:45" ht="18" customHeight="1" thickBot="1" x14ac:dyDescent="0.25">
      <c r="B414" s="145">
        <v>14</v>
      </c>
      <c r="C414" s="200"/>
      <c r="D414" s="204" t="s">
        <v>60</v>
      </c>
      <c r="E414" s="201" t="s">
        <v>550</v>
      </c>
      <c r="F414" s="275"/>
      <c r="G414" s="276"/>
      <c r="H414" s="277"/>
      <c r="I414" s="202"/>
      <c r="J414" s="117"/>
      <c r="K414" s="205"/>
      <c r="L414" s="117"/>
      <c r="M414" s="205"/>
      <c r="N414" s="203" t="s">
        <v>79</v>
      </c>
      <c r="O414" s="205"/>
      <c r="P414" s="198">
        <f>中間シート!D386</f>
        <v>0</v>
      </c>
      <c r="Q414" s="203"/>
      <c r="R414" s="198">
        <f>中間シート!G386</f>
        <v>0</v>
      </c>
      <c r="S414" s="203"/>
      <c r="T414" s="206" t="s">
        <v>40</v>
      </c>
      <c r="U414" s="203"/>
      <c r="V414" s="198">
        <f>中間シート!H386</f>
        <v>0</v>
      </c>
      <c r="W414" s="200"/>
      <c r="X414" s="189" t="str">
        <f>IF($B414&lt;=入力シート!$F$22,""&amp;中間シート!X320,"")</f>
        <v/>
      </c>
      <c r="AQ414" s="177">
        <f>中間シート!E320</f>
        <v>0</v>
      </c>
      <c r="AR414" s="148">
        <f>IF(F414="含まれている",1,IF(F414="含まれていない",2,0))</f>
        <v>0</v>
      </c>
      <c r="AS414" s="148" t="str">
        <f>IF(中間シート!N320=1,1,中間シート!P226)</f>
        <v/>
      </c>
    </row>
    <row r="415" spans="2:45" ht="5.0999999999999996" customHeight="1" thickBot="1" x14ac:dyDescent="0.25">
      <c r="C415" s="200"/>
      <c r="D415" s="200"/>
      <c r="E415" s="201"/>
      <c r="F415" s="203"/>
      <c r="G415" s="203"/>
      <c r="H415" s="203"/>
      <c r="I415" s="202"/>
      <c r="J415" s="205"/>
      <c r="K415" s="205"/>
      <c r="L415" s="205"/>
      <c r="M415" s="205"/>
      <c r="N415" s="203" t="s">
        <v>79</v>
      </c>
      <c r="O415" s="205"/>
      <c r="P415" s="203" t="s">
        <v>79</v>
      </c>
      <c r="Q415" s="203"/>
      <c r="R415" s="203" t="s">
        <v>79</v>
      </c>
      <c r="S415" s="203"/>
      <c r="T415" s="203"/>
      <c r="U415" s="203"/>
      <c r="V415" s="203" t="s">
        <v>79</v>
      </c>
      <c r="W415" s="200"/>
      <c r="X415" s="189" t="s">
        <v>79</v>
      </c>
      <c r="AQ415" s="148" t="s">
        <v>79</v>
      </c>
      <c r="AR415" s="148"/>
      <c r="AS415" s="148"/>
    </row>
    <row r="416" spans="2:45" ht="18" customHeight="1" thickBot="1" x14ac:dyDescent="0.25">
      <c r="B416" s="145">
        <v>14</v>
      </c>
      <c r="C416" s="200"/>
      <c r="D416" s="200"/>
      <c r="E416" s="201" t="s">
        <v>551</v>
      </c>
      <c r="F416" s="275"/>
      <c r="G416" s="276"/>
      <c r="H416" s="277"/>
      <c r="I416" s="202"/>
      <c r="J416" s="117"/>
      <c r="K416" s="205"/>
      <c r="L416" s="117"/>
      <c r="M416" s="205"/>
      <c r="N416" s="203" t="s">
        <v>79</v>
      </c>
      <c r="O416" s="205"/>
      <c r="P416" s="203" t="s">
        <v>79</v>
      </c>
      <c r="Q416" s="203"/>
      <c r="R416" s="203" t="s">
        <v>79</v>
      </c>
      <c r="S416" s="203"/>
      <c r="T416" s="203"/>
      <c r="U416" s="203"/>
      <c r="V416" s="203" t="s">
        <v>79</v>
      </c>
      <c r="W416" s="200"/>
      <c r="X416" s="189" t="str">
        <f>IF($B416&lt;=入力シート!$F$22,""&amp;中間シート!X321,"")</f>
        <v/>
      </c>
      <c r="AQ416" s="177">
        <f>中間シート!E321</f>
        <v>0</v>
      </c>
      <c r="AR416" s="148">
        <f>IF(F416="含まれている",1,IF(F416="含まれていない",2,0))</f>
        <v>0</v>
      </c>
      <c r="AS416" s="148" t="str">
        <f>IF(中間シート!N321=1,1,中間シート!P227)</f>
        <v/>
      </c>
    </row>
    <row r="417" spans="2:45" ht="5.0999999999999996" customHeight="1" thickBot="1" x14ac:dyDescent="0.25">
      <c r="C417" s="200"/>
      <c r="D417" s="200"/>
      <c r="E417" s="201"/>
      <c r="F417" s="203"/>
      <c r="G417" s="203"/>
      <c r="H417" s="203"/>
      <c r="I417" s="202"/>
      <c r="J417" s="205"/>
      <c r="K417" s="205"/>
      <c r="L417" s="205"/>
      <c r="M417" s="205"/>
      <c r="N417" s="203" t="s">
        <v>79</v>
      </c>
      <c r="O417" s="205"/>
      <c r="P417" s="203" t="s">
        <v>79</v>
      </c>
      <c r="Q417" s="203"/>
      <c r="R417" s="203" t="s">
        <v>79</v>
      </c>
      <c r="S417" s="203"/>
      <c r="T417" s="203"/>
      <c r="U417" s="203"/>
      <c r="V417" s="203" t="s">
        <v>79</v>
      </c>
      <c r="W417" s="200"/>
      <c r="X417" s="189" t="s">
        <v>79</v>
      </c>
      <c r="AQ417" s="177" t="s">
        <v>79</v>
      </c>
      <c r="AR417" s="148"/>
      <c r="AS417" s="148"/>
    </row>
    <row r="418" spans="2:45" ht="18" customHeight="1" thickBot="1" x14ac:dyDescent="0.25">
      <c r="B418" s="145">
        <v>14</v>
      </c>
      <c r="C418" s="200"/>
      <c r="D418" s="200"/>
      <c r="E418" s="201" t="s">
        <v>552</v>
      </c>
      <c r="F418" s="275"/>
      <c r="G418" s="276"/>
      <c r="H418" s="277"/>
      <c r="I418" s="202"/>
      <c r="J418" s="117"/>
      <c r="K418" s="205"/>
      <c r="L418" s="117"/>
      <c r="M418" s="205"/>
      <c r="N418" s="203" t="s">
        <v>79</v>
      </c>
      <c r="O418" s="205"/>
      <c r="P418" s="203" t="s">
        <v>79</v>
      </c>
      <c r="Q418" s="203"/>
      <c r="R418" s="203" t="s">
        <v>79</v>
      </c>
      <c r="S418" s="203"/>
      <c r="T418" s="203"/>
      <c r="U418" s="203"/>
      <c r="V418" s="203" t="s">
        <v>79</v>
      </c>
      <c r="W418" s="200"/>
      <c r="X418" s="189" t="str">
        <f>IF($B418&lt;=入力シート!$F$22,""&amp;中間シート!X322,"")</f>
        <v/>
      </c>
      <c r="AQ418" s="177">
        <f>中間シート!E322</f>
        <v>0</v>
      </c>
      <c r="AR418" s="148">
        <f>IF(F418="含まれている",1,IF(F418="含まれていない",2,0))</f>
        <v>0</v>
      </c>
      <c r="AS418" s="148" t="str">
        <f>IF(中間シート!N322=1,1,中間シート!P228)</f>
        <v/>
      </c>
    </row>
    <row r="419" spans="2:45" x14ac:dyDescent="0.2">
      <c r="C419" s="200"/>
      <c r="D419" s="200"/>
      <c r="E419" s="201"/>
      <c r="F419" s="205"/>
      <c r="G419" s="205"/>
      <c r="H419" s="205"/>
      <c r="I419" s="205"/>
      <c r="J419" s="205"/>
      <c r="K419" s="205"/>
      <c r="L419" s="205"/>
      <c r="M419" s="203"/>
      <c r="N419" s="203"/>
      <c r="O419" s="203"/>
      <c r="P419" s="205" t="s">
        <v>79</v>
      </c>
      <c r="Q419" s="203"/>
      <c r="R419" s="203" t="s">
        <v>79</v>
      </c>
      <c r="S419" s="203"/>
      <c r="T419" s="203"/>
      <c r="U419" s="203"/>
      <c r="V419" s="203" t="s">
        <v>79</v>
      </c>
      <c r="W419" s="200"/>
      <c r="X419" s="189" t="s">
        <v>79</v>
      </c>
      <c r="AQ419" s="148" t="s">
        <v>79</v>
      </c>
      <c r="AR419" s="148"/>
      <c r="AS419" s="148"/>
    </row>
    <row r="420" spans="2:45" ht="15.6" thickBot="1" x14ac:dyDescent="0.25">
      <c r="C420" s="158"/>
      <c r="D420" s="158"/>
      <c r="E420" s="197"/>
      <c r="F420" s="191"/>
      <c r="G420" s="191"/>
      <c r="H420" s="191"/>
      <c r="I420" s="192"/>
      <c r="J420" s="191"/>
      <c r="K420" s="191"/>
      <c r="L420" s="191"/>
      <c r="M420" s="191"/>
      <c r="N420" s="191"/>
      <c r="O420" s="191"/>
      <c r="P420" s="191" t="s">
        <v>79</v>
      </c>
      <c r="Q420" s="191"/>
      <c r="R420" s="191" t="s">
        <v>79</v>
      </c>
      <c r="S420" s="191"/>
      <c r="T420" s="191"/>
      <c r="U420" s="191"/>
      <c r="V420" s="191" t="s">
        <v>79</v>
      </c>
      <c r="W420" s="158"/>
      <c r="X420" s="189" t="s">
        <v>79</v>
      </c>
      <c r="AQ420" s="148" t="s">
        <v>79</v>
      </c>
      <c r="AR420" s="148"/>
      <c r="AS420" s="148"/>
    </row>
    <row r="421" spans="2:45" ht="18" customHeight="1" thickBot="1" x14ac:dyDescent="0.25">
      <c r="B421" s="145">
        <v>15</v>
      </c>
      <c r="C421" s="158"/>
      <c r="D421" s="152" t="s">
        <v>61</v>
      </c>
      <c r="E421" s="197" t="s">
        <v>550</v>
      </c>
      <c r="F421" s="275"/>
      <c r="G421" s="276"/>
      <c r="H421" s="277"/>
      <c r="I421" s="192"/>
      <c r="J421" s="117"/>
      <c r="K421" s="127"/>
      <c r="L421" s="117"/>
      <c r="M421" s="127"/>
      <c r="N421" s="158"/>
      <c r="O421" s="127"/>
      <c r="P421" s="198">
        <f>中間シート!D387</f>
        <v>0</v>
      </c>
      <c r="Q421" s="191"/>
      <c r="R421" s="198">
        <f>中間シート!G387</f>
        <v>0</v>
      </c>
      <c r="S421" s="191"/>
      <c r="T421" s="199" t="s">
        <v>40</v>
      </c>
      <c r="U421" s="191"/>
      <c r="V421" s="198">
        <f>中間シート!H387</f>
        <v>0</v>
      </c>
      <c r="W421" s="158"/>
      <c r="X421" s="189" t="str">
        <f>IF($B421&lt;=入力シート!$F$22,""&amp;中間シート!X323,"")</f>
        <v/>
      </c>
      <c r="AQ421" s="177">
        <f>中間シート!E323</f>
        <v>0</v>
      </c>
      <c r="AR421" s="148">
        <f>IF(F421="含まれている",1,IF(F421="含まれていない",2,0))</f>
        <v>0</v>
      </c>
      <c r="AS421" s="148" t="str">
        <f>IF(中間シート!N323=1,1,中間シート!P229)</f>
        <v/>
      </c>
    </row>
    <row r="422" spans="2:45" ht="5.0999999999999996" customHeight="1" thickBot="1" x14ac:dyDescent="0.25">
      <c r="C422" s="158"/>
      <c r="D422" s="158"/>
      <c r="E422" s="197"/>
      <c r="F422" s="191"/>
      <c r="G422" s="191"/>
      <c r="H422" s="191"/>
      <c r="I422" s="192"/>
      <c r="J422" s="127"/>
      <c r="K422" s="127"/>
      <c r="L422" s="127"/>
      <c r="M422" s="127"/>
      <c r="N422" s="158"/>
      <c r="O422" s="127"/>
      <c r="P422" s="191" t="s">
        <v>79</v>
      </c>
      <c r="Q422" s="191"/>
      <c r="R422" s="191" t="s">
        <v>79</v>
      </c>
      <c r="S422" s="191"/>
      <c r="T422" s="191"/>
      <c r="U422" s="191"/>
      <c r="V422" s="191" t="s">
        <v>79</v>
      </c>
      <c r="W422" s="158"/>
      <c r="X422" s="189" t="s">
        <v>79</v>
      </c>
      <c r="AQ422" s="148" t="s">
        <v>79</v>
      </c>
      <c r="AR422" s="148"/>
      <c r="AS422" s="148"/>
    </row>
    <row r="423" spans="2:45" ht="18" customHeight="1" thickBot="1" x14ac:dyDescent="0.25">
      <c r="B423" s="145">
        <v>15</v>
      </c>
      <c r="C423" s="158"/>
      <c r="D423" s="158"/>
      <c r="E423" s="197" t="s">
        <v>551</v>
      </c>
      <c r="F423" s="275"/>
      <c r="G423" s="276"/>
      <c r="H423" s="277"/>
      <c r="I423" s="192"/>
      <c r="J423" s="117"/>
      <c r="K423" s="127"/>
      <c r="L423" s="117"/>
      <c r="M423" s="127"/>
      <c r="N423" s="158"/>
      <c r="O423" s="127"/>
      <c r="P423" s="191" t="s">
        <v>79</v>
      </c>
      <c r="Q423" s="191"/>
      <c r="R423" s="191" t="s">
        <v>79</v>
      </c>
      <c r="S423" s="191"/>
      <c r="T423" s="191"/>
      <c r="U423" s="191"/>
      <c r="V423" s="191" t="s">
        <v>79</v>
      </c>
      <c r="W423" s="158"/>
      <c r="X423" s="189" t="str">
        <f>IF($B423&lt;=入力シート!$F$22,""&amp;中間シート!X324,"")</f>
        <v/>
      </c>
      <c r="AQ423" s="177">
        <f>中間シート!E324</f>
        <v>0</v>
      </c>
      <c r="AR423" s="148">
        <f>IF(F423="含まれている",1,IF(F423="含まれていない",2,0))</f>
        <v>0</v>
      </c>
      <c r="AS423" s="148" t="str">
        <f>IF(中間シート!N324=1,1,中間シート!P230)</f>
        <v/>
      </c>
    </row>
    <row r="424" spans="2:45" ht="5.0999999999999996" customHeight="1" thickBot="1" x14ac:dyDescent="0.25">
      <c r="C424" s="158"/>
      <c r="D424" s="158"/>
      <c r="E424" s="197"/>
      <c r="F424" s="191"/>
      <c r="G424" s="191"/>
      <c r="H424" s="191"/>
      <c r="I424" s="192"/>
      <c r="J424" s="127"/>
      <c r="K424" s="127"/>
      <c r="L424" s="127"/>
      <c r="M424" s="127"/>
      <c r="N424" s="158"/>
      <c r="O424" s="127"/>
      <c r="P424" s="191" t="s">
        <v>79</v>
      </c>
      <c r="Q424" s="191"/>
      <c r="R424" s="191" t="s">
        <v>79</v>
      </c>
      <c r="S424" s="191"/>
      <c r="T424" s="191"/>
      <c r="U424" s="191"/>
      <c r="V424" s="191" t="s">
        <v>79</v>
      </c>
      <c r="W424" s="158"/>
      <c r="X424" s="189" t="s">
        <v>79</v>
      </c>
      <c r="AQ424" s="177" t="s">
        <v>79</v>
      </c>
      <c r="AR424" s="148"/>
      <c r="AS424" s="148"/>
    </row>
    <row r="425" spans="2:45" ht="18" customHeight="1" thickBot="1" x14ac:dyDescent="0.25">
      <c r="B425" s="145">
        <v>15</v>
      </c>
      <c r="C425" s="158"/>
      <c r="D425" s="158"/>
      <c r="E425" s="197" t="s">
        <v>552</v>
      </c>
      <c r="F425" s="275"/>
      <c r="G425" s="276"/>
      <c r="H425" s="277"/>
      <c r="I425" s="192"/>
      <c r="J425" s="117"/>
      <c r="K425" s="127"/>
      <c r="L425" s="117"/>
      <c r="M425" s="127"/>
      <c r="N425" s="158"/>
      <c r="O425" s="127"/>
      <c r="P425" s="191" t="s">
        <v>79</v>
      </c>
      <c r="Q425" s="191"/>
      <c r="R425" s="191" t="s">
        <v>79</v>
      </c>
      <c r="S425" s="191"/>
      <c r="T425" s="191"/>
      <c r="U425" s="191"/>
      <c r="V425" s="191" t="s">
        <v>79</v>
      </c>
      <c r="W425" s="158"/>
      <c r="X425" s="189" t="str">
        <f>IF($B425&lt;=入力シート!$F$22,""&amp;中間シート!X325,"")</f>
        <v/>
      </c>
      <c r="AQ425" s="177">
        <f>中間シート!E325</f>
        <v>0</v>
      </c>
      <c r="AR425" s="148">
        <f>IF(F425="含まれている",1,IF(F425="含まれていない",2,0))</f>
        <v>0</v>
      </c>
      <c r="AS425" s="148" t="str">
        <f>IF(中間シート!N325=1,1,中間シート!P231)</f>
        <v/>
      </c>
    </row>
    <row r="426" spans="2:45" x14ac:dyDescent="0.2">
      <c r="C426" s="158"/>
      <c r="D426" s="158"/>
      <c r="E426" s="153"/>
      <c r="F426" s="127"/>
      <c r="G426" s="127"/>
      <c r="H426" s="127"/>
      <c r="I426" s="127"/>
      <c r="J426" s="127"/>
      <c r="K426" s="127"/>
      <c r="L426" s="127"/>
      <c r="M426" s="191"/>
      <c r="N426" s="191"/>
      <c r="O426" s="191"/>
      <c r="P426" s="127" t="s">
        <v>79</v>
      </c>
      <c r="Q426" s="191"/>
      <c r="R426" s="191" t="s">
        <v>79</v>
      </c>
      <c r="S426" s="191"/>
      <c r="T426" s="191"/>
      <c r="U426" s="191"/>
      <c r="V426" s="191" t="s">
        <v>79</v>
      </c>
      <c r="W426" s="158"/>
      <c r="X426" s="189" t="s">
        <v>79</v>
      </c>
      <c r="AQ426" s="148" t="s">
        <v>79</v>
      </c>
      <c r="AR426" s="148"/>
      <c r="AS426" s="148"/>
    </row>
    <row r="427" spans="2:45" ht="15.6" thickBot="1" x14ac:dyDescent="0.25">
      <c r="C427" s="200"/>
      <c r="D427" s="200"/>
      <c r="E427" s="201"/>
      <c r="F427" s="200"/>
      <c r="G427" s="200"/>
      <c r="H427" s="200"/>
      <c r="I427" s="202"/>
      <c r="J427" s="200"/>
      <c r="K427" s="200"/>
      <c r="L427" s="200"/>
      <c r="M427" s="200"/>
      <c r="N427" s="200"/>
      <c r="O427" s="200"/>
      <c r="P427" s="200" t="s">
        <v>79</v>
      </c>
      <c r="Q427" s="200"/>
      <c r="R427" s="200" t="s">
        <v>79</v>
      </c>
      <c r="S427" s="200"/>
      <c r="T427" s="200"/>
      <c r="U427" s="200"/>
      <c r="V427" s="200" t="s">
        <v>79</v>
      </c>
      <c r="W427" s="200"/>
      <c r="X427" s="189" t="s">
        <v>79</v>
      </c>
      <c r="AQ427" s="148" t="s">
        <v>79</v>
      </c>
      <c r="AR427" s="148"/>
      <c r="AS427" s="148"/>
    </row>
    <row r="428" spans="2:45" ht="18" customHeight="1" thickBot="1" x14ac:dyDescent="0.25">
      <c r="B428" s="145">
        <v>16</v>
      </c>
      <c r="C428" s="200"/>
      <c r="D428" s="204" t="s">
        <v>62</v>
      </c>
      <c r="E428" s="201" t="s">
        <v>550</v>
      </c>
      <c r="F428" s="275"/>
      <c r="G428" s="276"/>
      <c r="H428" s="277"/>
      <c r="I428" s="202"/>
      <c r="J428" s="117"/>
      <c r="K428" s="205"/>
      <c r="L428" s="117"/>
      <c r="M428" s="205"/>
      <c r="N428" s="203" t="s">
        <v>79</v>
      </c>
      <c r="O428" s="205"/>
      <c r="P428" s="198">
        <f>中間シート!D388</f>
        <v>0</v>
      </c>
      <c r="Q428" s="203"/>
      <c r="R428" s="198">
        <f>中間シート!G388</f>
        <v>0</v>
      </c>
      <c r="S428" s="203"/>
      <c r="T428" s="206" t="s">
        <v>40</v>
      </c>
      <c r="U428" s="203"/>
      <c r="V428" s="198">
        <f>中間シート!H388</f>
        <v>0</v>
      </c>
      <c r="W428" s="200"/>
      <c r="X428" s="189" t="str">
        <f>IF($B428&lt;=入力シート!$F$22,""&amp;中間シート!X326,"")</f>
        <v/>
      </c>
      <c r="AQ428" s="177">
        <f>中間シート!E326</f>
        <v>0</v>
      </c>
      <c r="AR428" s="148">
        <f>IF(F428="含まれている",1,IF(F428="含まれていない",2,0))</f>
        <v>0</v>
      </c>
      <c r="AS428" s="148" t="str">
        <f>IF(中間シート!N326=1,1,中間シート!P232)</f>
        <v/>
      </c>
    </row>
    <row r="429" spans="2:45" ht="5.0999999999999996" customHeight="1" thickBot="1" x14ac:dyDescent="0.25">
      <c r="C429" s="200"/>
      <c r="D429" s="200"/>
      <c r="E429" s="201"/>
      <c r="F429" s="203"/>
      <c r="G429" s="203"/>
      <c r="H429" s="203"/>
      <c r="I429" s="202"/>
      <c r="J429" s="205"/>
      <c r="K429" s="205"/>
      <c r="L429" s="205"/>
      <c r="M429" s="205"/>
      <c r="N429" s="203" t="s">
        <v>79</v>
      </c>
      <c r="O429" s="205"/>
      <c r="P429" s="203" t="s">
        <v>79</v>
      </c>
      <c r="Q429" s="203"/>
      <c r="R429" s="203" t="s">
        <v>79</v>
      </c>
      <c r="S429" s="203"/>
      <c r="T429" s="203"/>
      <c r="U429" s="203"/>
      <c r="V429" s="203" t="s">
        <v>79</v>
      </c>
      <c r="W429" s="200"/>
      <c r="X429" s="189" t="s">
        <v>79</v>
      </c>
      <c r="AQ429" s="148" t="s">
        <v>79</v>
      </c>
      <c r="AR429" s="148"/>
      <c r="AS429" s="148"/>
    </row>
    <row r="430" spans="2:45" ht="18" customHeight="1" thickBot="1" x14ac:dyDescent="0.25">
      <c r="B430" s="145">
        <v>16</v>
      </c>
      <c r="C430" s="200"/>
      <c r="D430" s="200"/>
      <c r="E430" s="201" t="s">
        <v>551</v>
      </c>
      <c r="F430" s="275"/>
      <c r="G430" s="276"/>
      <c r="H430" s="277"/>
      <c r="I430" s="202"/>
      <c r="J430" s="117"/>
      <c r="K430" s="205"/>
      <c r="L430" s="117"/>
      <c r="M430" s="205"/>
      <c r="N430" s="203" t="s">
        <v>79</v>
      </c>
      <c r="O430" s="205"/>
      <c r="P430" s="203" t="s">
        <v>79</v>
      </c>
      <c r="Q430" s="203"/>
      <c r="R430" s="203" t="s">
        <v>79</v>
      </c>
      <c r="S430" s="203"/>
      <c r="T430" s="203"/>
      <c r="U430" s="203"/>
      <c r="V430" s="203" t="s">
        <v>79</v>
      </c>
      <c r="W430" s="200"/>
      <c r="X430" s="189" t="str">
        <f>IF($B430&lt;=入力シート!$F$22,""&amp;中間シート!X327,"")</f>
        <v/>
      </c>
      <c r="AQ430" s="177">
        <f>中間シート!E327</f>
        <v>0</v>
      </c>
      <c r="AR430" s="148">
        <f>IF(F430="含まれている",1,IF(F430="含まれていない",2,0))</f>
        <v>0</v>
      </c>
      <c r="AS430" s="148" t="str">
        <f>IF(中間シート!N327=1,1,中間シート!P233)</f>
        <v/>
      </c>
    </row>
    <row r="431" spans="2:45" ht="5.0999999999999996" customHeight="1" thickBot="1" x14ac:dyDescent="0.25">
      <c r="C431" s="200"/>
      <c r="D431" s="200"/>
      <c r="E431" s="201"/>
      <c r="F431" s="203"/>
      <c r="G431" s="203"/>
      <c r="H431" s="203"/>
      <c r="I431" s="202"/>
      <c r="J431" s="205"/>
      <c r="K431" s="205"/>
      <c r="L431" s="205"/>
      <c r="M431" s="205"/>
      <c r="N431" s="203" t="s">
        <v>79</v>
      </c>
      <c r="O431" s="205"/>
      <c r="P431" s="203" t="s">
        <v>79</v>
      </c>
      <c r="Q431" s="203"/>
      <c r="R431" s="203" t="s">
        <v>79</v>
      </c>
      <c r="S431" s="203"/>
      <c r="T431" s="203"/>
      <c r="U431" s="203"/>
      <c r="V431" s="203" t="s">
        <v>79</v>
      </c>
      <c r="W431" s="200"/>
      <c r="X431" s="189" t="s">
        <v>79</v>
      </c>
      <c r="AQ431" s="177" t="s">
        <v>79</v>
      </c>
      <c r="AR431" s="148"/>
      <c r="AS431" s="148"/>
    </row>
    <row r="432" spans="2:45" ht="18" customHeight="1" thickBot="1" x14ac:dyDescent="0.25">
      <c r="B432" s="145">
        <v>16</v>
      </c>
      <c r="C432" s="200"/>
      <c r="D432" s="200"/>
      <c r="E432" s="201" t="s">
        <v>552</v>
      </c>
      <c r="F432" s="275"/>
      <c r="G432" s="276"/>
      <c r="H432" s="277"/>
      <c r="I432" s="202"/>
      <c r="J432" s="117"/>
      <c r="K432" s="205"/>
      <c r="L432" s="117"/>
      <c r="M432" s="205"/>
      <c r="N432" s="203" t="s">
        <v>79</v>
      </c>
      <c r="O432" s="205"/>
      <c r="P432" s="203" t="s">
        <v>79</v>
      </c>
      <c r="Q432" s="203"/>
      <c r="R432" s="203" t="s">
        <v>79</v>
      </c>
      <c r="S432" s="203"/>
      <c r="T432" s="203"/>
      <c r="U432" s="203"/>
      <c r="V432" s="203" t="s">
        <v>79</v>
      </c>
      <c r="W432" s="200"/>
      <c r="X432" s="189" t="str">
        <f>IF($B432&lt;=入力シート!$F$22,""&amp;中間シート!X328,"")</f>
        <v/>
      </c>
      <c r="AQ432" s="177">
        <f>中間シート!E328</f>
        <v>0</v>
      </c>
      <c r="AR432" s="148">
        <f>IF(F432="含まれている",1,IF(F432="含まれていない",2,0))</f>
        <v>0</v>
      </c>
      <c r="AS432" s="148" t="str">
        <f>IF(中間シート!N328=1,1,中間シート!P234)</f>
        <v/>
      </c>
    </row>
    <row r="433" spans="2:45" x14ac:dyDescent="0.2">
      <c r="C433" s="200"/>
      <c r="D433" s="200"/>
      <c r="E433" s="201"/>
      <c r="F433" s="205"/>
      <c r="G433" s="205"/>
      <c r="H433" s="205"/>
      <c r="I433" s="205"/>
      <c r="J433" s="205"/>
      <c r="K433" s="205"/>
      <c r="L433" s="205"/>
      <c r="M433" s="203"/>
      <c r="N433" s="203"/>
      <c r="O433" s="203"/>
      <c r="P433" s="205" t="s">
        <v>79</v>
      </c>
      <c r="Q433" s="203"/>
      <c r="R433" s="203" t="s">
        <v>79</v>
      </c>
      <c r="S433" s="203"/>
      <c r="T433" s="203"/>
      <c r="U433" s="203"/>
      <c r="V433" s="203" t="s">
        <v>79</v>
      </c>
      <c r="W433" s="200"/>
      <c r="X433" s="189" t="s">
        <v>79</v>
      </c>
      <c r="AQ433" s="148" t="s">
        <v>79</v>
      </c>
      <c r="AR433" s="148"/>
      <c r="AS433" s="148"/>
    </row>
    <row r="434" spans="2:45" ht="15.6" thickBot="1" x14ac:dyDescent="0.25">
      <c r="C434" s="158"/>
      <c r="D434" s="158"/>
      <c r="E434" s="197"/>
      <c r="F434" s="191"/>
      <c r="G434" s="191"/>
      <c r="H434" s="191"/>
      <c r="I434" s="192"/>
      <c r="J434" s="191"/>
      <c r="K434" s="191"/>
      <c r="L434" s="191"/>
      <c r="M434" s="191"/>
      <c r="N434" s="191"/>
      <c r="O434" s="191"/>
      <c r="P434" s="191" t="s">
        <v>79</v>
      </c>
      <c r="Q434" s="191"/>
      <c r="R434" s="191" t="s">
        <v>79</v>
      </c>
      <c r="S434" s="191"/>
      <c r="T434" s="191"/>
      <c r="U434" s="191"/>
      <c r="V434" s="191" t="s">
        <v>79</v>
      </c>
      <c r="W434" s="158"/>
      <c r="X434" s="189" t="s">
        <v>79</v>
      </c>
      <c r="AQ434" s="148" t="s">
        <v>79</v>
      </c>
      <c r="AR434" s="148"/>
      <c r="AS434" s="148"/>
    </row>
    <row r="435" spans="2:45" ht="18" customHeight="1" thickBot="1" x14ac:dyDescent="0.25">
      <c r="B435" s="145">
        <v>17</v>
      </c>
      <c r="C435" s="158"/>
      <c r="D435" s="152" t="s">
        <v>63</v>
      </c>
      <c r="E435" s="197" t="s">
        <v>550</v>
      </c>
      <c r="F435" s="275"/>
      <c r="G435" s="276"/>
      <c r="H435" s="277"/>
      <c r="I435" s="192"/>
      <c r="J435" s="117"/>
      <c r="K435" s="127"/>
      <c r="L435" s="117"/>
      <c r="M435" s="127"/>
      <c r="N435" s="158"/>
      <c r="O435" s="127"/>
      <c r="P435" s="198">
        <f>中間シート!D389</f>
        <v>0</v>
      </c>
      <c r="Q435" s="191"/>
      <c r="R435" s="198">
        <f>中間シート!G389</f>
        <v>0</v>
      </c>
      <c r="S435" s="191"/>
      <c r="T435" s="199" t="s">
        <v>40</v>
      </c>
      <c r="U435" s="191"/>
      <c r="V435" s="198">
        <f>中間シート!H389</f>
        <v>0</v>
      </c>
      <c r="W435" s="158"/>
      <c r="X435" s="189" t="str">
        <f>IF($B435&lt;=入力シート!$F$22,""&amp;中間シート!X329,"")</f>
        <v/>
      </c>
      <c r="AQ435" s="177">
        <f>中間シート!E329</f>
        <v>0</v>
      </c>
      <c r="AR435" s="148">
        <f>IF(F435="含まれている",1,IF(F435="含まれていない",2,0))</f>
        <v>0</v>
      </c>
      <c r="AS435" s="148" t="str">
        <f>IF(中間シート!N329=1,1,中間シート!P235)</f>
        <v/>
      </c>
    </row>
    <row r="436" spans="2:45" ht="5.0999999999999996" customHeight="1" thickBot="1" x14ac:dyDescent="0.25">
      <c r="C436" s="158"/>
      <c r="D436" s="158"/>
      <c r="E436" s="197"/>
      <c r="F436" s="191"/>
      <c r="G436" s="191"/>
      <c r="H436" s="191"/>
      <c r="I436" s="192"/>
      <c r="J436" s="127"/>
      <c r="K436" s="127"/>
      <c r="L436" s="127"/>
      <c r="M436" s="127"/>
      <c r="N436" s="158"/>
      <c r="O436" s="127"/>
      <c r="P436" s="191" t="s">
        <v>79</v>
      </c>
      <c r="Q436" s="191"/>
      <c r="R436" s="191" t="s">
        <v>79</v>
      </c>
      <c r="S436" s="191"/>
      <c r="T436" s="191"/>
      <c r="U436" s="191"/>
      <c r="V436" s="191" t="s">
        <v>79</v>
      </c>
      <c r="W436" s="158"/>
      <c r="X436" s="189" t="s">
        <v>79</v>
      </c>
      <c r="AQ436" s="148" t="s">
        <v>79</v>
      </c>
      <c r="AR436" s="148"/>
      <c r="AS436" s="148"/>
    </row>
    <row r="437" spans="2:45" ht="18" customHeight="1" thickBot="1" x14ac:dyDescent="0.25">
      <c r="B437" s="145">
        <v>17</v>
      </c>
      <c r="C437" s="158"/>
      <c r="D437" s="158"/>
      <c r="E437" s="197" t="s">
        <v>551</v>
      </c>
      <c r="F437" s="275"/>
      <c r="G437" s="276"/>
      <c r="H437" s="277"/>
      <c r="I437" s="192"/>
      <c r="J437" s="117"/>
      <c r="K437" s="127"/>
      <c r="L437" s="117"/>
      <c r="M437" s="127"/>
      <c r="N437" s="158"/>
      <c r="O437" s="127"/>
      <c r="P437" s="191" t="s">
        <v>79</v>
      </c>
      <c r="Q437" s="191"/>
      <c r="R437" s="191" t="s">
        <v>79</v>
      </c>
      <c r="S437" s="191"/>
      <c r="T437" s="191"/>
      <c r="U437" s="191"/>
      <c r="V437" s="191" t="s">
        <v>79</v>
      </c>
      <c r="W437" s="158"/>
      <c r="X437" s="189" t="str">
        <f>IF($B437&lt;=入力シート!$F$22,""&amp;中間シート!X330,"")</f>
        <v/>
      </c>
      <c r="AQ437" s="177">
        <f>中間シート!E330</f>
        <v>0</v>
      </c>
      <c r="AR437" s="148">
        <f>IF(F437="含まれている",1,IF(F437="含まれていない",2,0))</f>
        <v>0</v>
      </c>
      <c r="AS437" s="148" t="str">
        <f>IF(中間シート!N330=1,1,中間シート!P236)</f>
        <v/>
      </c>
    </row>
    <row r="438" spans="2:45" ht="5.0999999999999996" customHeight="1" thickBot="1" x14ac:dyDescent="0.25">
      <c r="C438" s="158"/>
      <c r="D438" s="158"/>
      <c r="E438" s="197"/>
      <c r="F438" s="191"/>
      <c r="G438" s="191"/>
      <c r="H438" s="191"/>
      <c r="I438" s="192"/>
      <c r="J438" s="127"/>
      <c r="K438" s="127"/>
      <c r="L438" s="127"/>
      <c r="M438" s="127"/>
      <c r="N438" s="158"/>
      <c r="O438" s="127"/>
      <c r="P438" s="191" t="s">
        <v>79</v>
      </c>
      <c r="Q438" s="191"/>
      <c r="R438" s="191" t="s">
        <v>79</v>
      </c>
      <c r="S438" s="191"/>
      <c r="T438" s="191"/>
      <c r="U438" s="191"/>
      <c r="V438" s="191" t="s">
        <v>79</v>
      </c>
      <c r="W438" s="158"/>
      <c r="X438" s="189" t="s">
        <v>79</v>
      </c>
      <c r="AQ438" s="177" t="s">
        <v>79</v>
      </c>
      <c r="AR438" s="148"/>
      <c r="AS438" s="148"/>
    </row>
    <row r="439" spans="2:45" ht="18" customHeight="1" thickBot="1" x14ac:dyDescent="0.25">
      <c r="B439" s="145">
        <v>17</v>
      </c>
      <c r="C439" s="158"/>
      <c r="D439" s="158"/>
      <c r="E439" s="197" t="s">
        <v>552</v>
      </c>
      <c r="F439" s="275"/>
      <c r="G439" s="276"/>
      <c r="H439" s="277"/>
      <c r="I439" s="192"/>
      <c r="J439" s="117"/>
      <c r="K439" s="127"/>
      <c r="L439" s="117"/>
      <c r="M439" s="127"/>
      <c r="N439" s="158"/>
      <c r="O439" s="127"/>
      <c r="P439" s="191" t="s">
        <v>79</v>
      </c>
      <c r="Q439" s="191"/>
      <c r="R439" s="191" t="s">
        <v>79</v>
      </c>
      <c r="S439" s="191"/>
      <c r="T439" s="191"/>
      <c r="U439" s="191"/>
      <c r="V439" s="191" t="s">
        <v>79</v>
      </c>
      <c r="W439" s="158"/>
      <c r="X439" s="189" t="str">
        <f>IF($B439&lt;=入力シート!$F$22,""&amp;中間シート!X331,"")</f>
        <v/>
      </c>
      <c r="AQ439" s="177">
        <f>中間シート!E331</f>
        <v>0</v>
      </c>
      <c r="AR439" s="148">
        <f>IF(F439="含まれている",1,IF(F439="含まれていない",2,0))</f>
        <v>0</v>
      </c>
      <c r="AS439" s="148" t="str">
        <f>IF(中間シート!N331=1,1,中間シート!P237)</f>
        <v/>
      </c>
    </row>
    <row r="440" spans="2:45" x14ac:dyDescent="0.2">
      <c r="C440" s="158"/>
      <c r="D440" s="158"/>
      <c r="E440" s="153"/>
      <c r="F440" s="127"/>
      <c r="G440" s="127"/>
      <c r="H440" s="127"/>
      <c r="I440" s="127"/>
      <c r="J440" s="127"/>
      <c r="K440" s="127"/>
      <c r="L440" s="127"/>
      <c r="M440" s="191"/>
      <c r="N440" s="191"/>
      <c r="O440" s="191"/>
      <c r="P440" s="127" t="s">
        <v>79</v>
      </c>
      <c r="Q440" s="191"/>
      <c r="R440" s="191" t="s">
        <v>79</v>
      </c>
      <c r="S440" s="191"/>
      <c r="T440" s="191"/>
      <c r="U440" s="191"/>
      <c r="V440" s="191" t="s">
        <v>79</v>
      </c>
      <c r="W440" s="158"/>
      <c r="X440" s="189" t="s">
        <v>79</v>
      </c>
      <c r="AQ440" s="148" t="s">
        <v>79</v>
      </c>
      <c r="AR440" s="148"/>
      <c r="AS440" s="148"/>
    </row>
    <row r="441" spans="2:45" ht="15.6" thickBot="1" x14ac:dyDescent="0.25">
      <c r="C441" s="200"/>
      <c r="D441" s="200"/>
      <c r="E441" s="201"/>
      <c r="F441" s="200"/>
      <c r="G441" s="200"/>
      <c r="H441" s="200"/>
      <c r="I441" s="202"/>
      <c r="J441" s="200"/>
      <c r="K441" s="200"/>
      <c r="L441" s="200"/>
      <c r="M441" s="200"/>
      <c r="N441" s="200"/>
      <c r="O441" s="200"/>
      <c r="P441" s="200" t="s">
        <v>79</v>
      </c>
      <c r="Q441" s="200"/>
      <c r="R441" s="200" t="s">
        <v>79</v>
      </c>
      <c r="S441" s="200"/>
      <c r="T441" s="200"/>
      <c r="U441" s="200"/>
      <c r="V441" s="200" t="s">
        <v>79</v>
      </c>
      <c r="W441" s="200"/>
      <c r="X441" s="189" t="s">
        <v>79</v>
      </c>
      <c r="AQ441" s="148" t="s">
        <v>79</v>
      </c>
      <c r="AR441" s="148"/>
      <c r="AS441" s="148"/>
    </row>
    <row r="442" spans="2:45" ht="18" customHeight="1" thickBot="1" x14ac:dyDescent="0.25">
      <c r="B442" s="145">
        <v>18</v>
      </c>
      <c r="C442" s="200"/>
      <c r="D442" s="204" t="s">
        <v>64</v>
      </c>
      <c r="E442" s="201" t="s">
        <v>550</v>
      </c>
      <c r="F442" s="275"/>
      <c r="G442" s="276"/>
      <c r="H442" s="277"/>
      <c r="I442" s="202"/>
      <c r="J442" s="117"/>
      <c r="K442" s="205"/>
      <c r="L442" s="117"/>
      <c r="M442" s="205"/>
      <c r="N442" s="203" t="s">
        <v>79</v>
      </c>
      <c r="O442" s="205"/>
      <c r="P442" s="198">
        <f>中間シート!D390</f>
        <v>0</v>
      </c>
      <c r="Q442" s="203"/>
      <c r="R442" s="198">
        <f>中間シート!G390</f>
        <v>0</v>
      </c>
      <c r="S442" s="203"/>
      <c r="T442" s="206" t="s">
        <v>40</v>
      </c>
      <c r="U442" s="203"/>
      <c r="V442" s="198">
        <f>中間シート!H390</f>
        <v>0</v>
      </c>
      <c r="W442" s="200"/>
      <c r="X442" s="189" t="str">
        <f>IF($B442&lt;=入力シート!$F$22,""&amp;中間シート!X332,"")</f>
        <v/>
      </c>
      <c r="AQ442" s="177">
        <f>中間シート!E332</f>
        <v>0</v>
      </c>
      <c r="AR442" s="148">
        <f>IF(F442="含まれている",1,IF(F442="含まれていない",2,0))</f>
        <v>0</v>
      </c>
      <c r="AS442" s="148" t="str">
        <f>IF(中間シート!N332=1,1,中間シート!P238)</f>
        <v/>
      </c>
    </row>
    <row r="443" spans="2:45" ht="5.0999999999999996" customHeight="1" thickBot="1" x14ac:dyDescent="0.25">
      <c r="C443" s="200"/>
      <c r="D443" s="200"/>
      <c r="E443" s="201"/>
      <c r="F443" s="203"/>
      <c r="G443" s="203"/>
      <c r="H443" s="203"/>
      <c r="I443" s="202"/>
      <c r="J443" s="205"/>
      <c r="K443" s="205"/>
      <c r="L443" s="205"/>
      <c r="M443" s="205"/>
      <c r="N443" s="203" t="s">
        <v>79</v>
      </c>
      <c r="O443" s="205"/>
      <c r="P443" s="203" t="s">
        <v>79</v>
      </c>
      <c r="Q443" s="203"/>
      <c r="R443" s="203" t="s">
        <v>79</v>
      </c>
      <c r="S443" s="203"/>
      <c r="T443" s="203"/>
      <c r="U443" s="203"/>
      <c r="V443" s="203" t="s">
        <v>79</v>
      </c>
      <c r="W443" s="200"/>
      <c r="X443" s="189" t="s">
        <v>79</v>
      </c>
      <c r="AQ443" s="148" t="s">
        <v>79</v>
      </c>
      <c r="AR443" s="148"/>
      <c r="AS443" s="148"/>
    </row>
    <row r="444" spans="2:45" ht="18" customHeight="1" thickBot="1" x14ac:dyDescent="0.25">
      <c r="B444" s="145">
        <v>18</v>
      </c>
      <c r="C444" s="200"/>
      <c r="D444" s="200"/>
      <c r="E444" s="201" t="s">
        <v>551</v>
      </c>
      <c r="F444" s="275"/>
      <c r="G444" s="276"/>
      <c r="H444" s="277"/>
      <c r="I444" s="202"/>
      <c r="J444" s="117"/>
      <c r="K444" s="205"/>
      <c r="L444" s="117"/>
      <c r="M444" s="205"/>
      <c r="N444" s="203" t="s">
        <v>79</v>
      </c>
      <c r="O444" s="205"/>
      <c r="P444" s="203" t="s">
        <v>79</v>
      </c>
      <c r="Q444" s="203"/>
      <c r="R444" s="203" t="s">
        <v>79</v>
      </c>
      <c r="S444" s="203"/>
      <c r="T444" s="203"/>
      <c r="U444" s="203"/>
      <c r="V444" s="203" t="s">
        <v>79</v>
      </c>
      <c r="W444" s="200"/>
      <c r="X444" s="189" t="str">
        <f>IF($B444&lt;=入力シート!$F$22,""&amp;中間シート!X333,"")</f>
        <v/>
      </c>
      <c r="AQ444" s="177">
        <f>中間シート!E333</f>
        <v>0</v>
      </c>
      <c r="AR444" s="148">
        <f>IF(F444="含まれている",1,IF(F444="含まれていない",2,0))</f>
        <v>0</v>
      </c>
      <c r="AS444" s="148" t="str">
        <f>IF(中間シート!N333=1,1,中間シート!P239)</f>
        <v/>
      </c>
    </row>
    <row r="445" spans="2:45" ht="5.0999999999999996" customHeight="1" thickBot="1" x14ac:dyDescent="0.25">
      <c r="C445" s="200"/>
      <c r="D445" s="200"/>
      <c r="E445" s="201"/>
      <c r="F445" s="203"/>
      <c r="G445" s="203"/>
      <c r="H445" s="203"/>
      <c r="I445" s="202"/>
      <c r="J445" s="205"/>
      <c r="K445" s="205"/>
      <c r="L445" s="205"/>
      <c r="M445" s="205"/>
      <c r="N445" s="203" t="s">
        <v>79</v>
      </c>
      <c r="O445" s="205"/>
      <c r="P445" s="203" t="s">
        <v>79</v>
      </c>
      <c r="Q445" s="203"/>
      <c r="R445" s="203" t="s">
        <v>79</v>
      </c>
      <c r="S445" s="203"/>
      <c r="T445" s="203"/>
      <c r="U445" s="203"/>
      <c r="V445" s="203" t="s">
        <v>79</v>
      </c>
      <c r="W445" s="200"/>
      <c r="X445" s="189" t="s">
        <v>79</v>
      </c>
      <c r="AQ445" s="177" t="s">
        <v>79</v>
      </c>
      <c r="AR445" s="148"/>
      <c r="AS445" s="148"/>
    </row>
    <row r="446" spans="2:45" ht="18" customHeight="1" thickBot="1" x14ac:dyDescent="0.25">
      <c r="B446" s="145">
        <v>18</v>
      </c>
      <c r="C446" s="200"/>
      <c r="D446" s="200"/>
      <c r="E446" s="201" t="s">
        <v>552</v>
      </c>
      <c r="F446" s="275"/>
      <c r="G446" s="276"/>
      <c r="H446" s="277"/>
      <c r="I446" s="202"/>
      <c r="J446" s="117"/>
      <c r="K446" s="205"/>
      <c r="L446" s="117"/>
      <c r="M446" s="205"/>
      <c r="N446" s="203" t="s">
        <v>79</v>
      </c>
      <c r="O446" s="205"/>
      <c r="P446" s="203" t="s">
        <v>79</v>
      </c>
      <c r="Q446" s="203"/>
      <c r="R446" s="203" t="s">
        <v>79</v>
      </c>
      <c r="S446" s="203"/>
      <c r="T446" s="203"/>
      <c r="U446" s="203"/>
      <c r="V446" s="203" t="s">
        <v>79</v>
      </c>
      <c r="W446" s="200"/>
      <c r="X446" s="189" t="str">
        <f>IF($B446&lt;=入力シート!$F$22,""&amp;中間シート!X334,"")</f>
        <v/>
      </c>
      <c r="AQ446" s="177">
        <f>中間シート!E334</f>
        <v>0</v>
      </c>
      <c r="AR446" s="148">
        <f>IF(F446="含まれている",1,IF(F446="含まれていない",2,0))</f>
        <v>0</v>
      </c>
      <c r="AS446" s="148" t="str">
        <f>IF(中間シート!N334=1,1,中間シート!P240)</f>
        <v/>
      </c>
    </row>
    <row r="447" spans="2:45" x14ac:dyDescent="0.2">
      <c r="C447" s="200"/>
      <c r="D447" s="200"/>
      <c r="E447" s="201"/>
      <c r="F447" s="205"/>
      <c r="G447" s="205"/>
      <c r="H447" s="205"/>
      <c r="I447" s="205"/>
      <c r="J447" s="205"/>
      <c r="K447" s="205"/>
      <c r="L447" s="205"/>
      <c r="M447" s="203"/>
      <c r="N447" s="203"/>
      <c r="O447" s="203"/>
      <c r="P447" s="205" t="s">
        <v>79</v>
      </c>
      <c r="Q447" s="203"/>
      <c r="R447" s="203" t="s">
        <v>79</v>
      </c>
      <c r="S447" s="203"/>
      <c r="T447" s="203"/>
      <c r="U447" s="203"/>
      <c r="V447" s="203" t="s">
        <v>79</v>
      </c>
      <c r="W447" s="200"/>
      <c r="X447" s="189" t="s">
        <v>79</v>
      </c>
      <c r="AQ447" s="148" t="s">
        <v>79</v>
      </c>
      <c r="AR447" s="148"/>
      <c r="AS447" s="148"/>
    </row>
    <row r="448" spans="2:45" ht="15.6" thickBot="1" x14ac:dyDescent="0.25">
      <c r="C448" s="158"/>
      <c r="D448" s="158"/>
      <c r="E448" s="197"/>
      <c r="F448" s="191"/>
      <c r="G448" s="191"/>
      <c r="H448" s="191"/>
      <c r="I448" s="192"/>
      <c r="J448" s="191"/>
      <c r="K448" s="191"/>
      <c r="L448" s="191"/>
      <c r="M448" s="191"/>
      <c r="N448" s="191"/>
      <c r="O448" s="191"/>
      <c r="P448" s="191" t="s">
        <v>79</v>
      </c>
      <c r="Q448" s="191"/>
      <c r="R448" s="191" t="s">
        <v>79</v>
      </c>
      <c r="S448" s="191"/>
      <c r="T448" s="191"/>
      <c r="U448" s="191"/>
      <c r="V448" s="191" t="s">
        <v>79</v>
      </c>
      <c r="W448" s="158"/>
      <c r="X448" s="189" t="s">
        <v>79</v>
      </c>
      <c r="AQ448" s="148" t="s">
        <v>79</v>
      </c>
      <c r="AR448" s="148"/>
      <c r="AS448" s="148"/>
    </row>
    <row r="449" spans="2:45" ht="18" customHeight="1" thickBot="1" x14ac:dyDescent="0.25">
      <c r="B449" s="145">
        <v>19</v>
      </c>
      <c r="C449" s="158"/>
      <c r="D449" s="152" t="s">
        <v>65</v>
      </c>
      <c r="E449" s="197" t="s">
        <v>550</v>
      </c>
      <c r="F449" s="275"/>
      <c r="G449" s="276"/>
      <c r="H449" s="277"/>
      <c r="I449" s="192"/>
      <c r="J449" s="117"/>
      <c r="K449" s="127"/>
      <c r="L449" s="117"/>
      <c r="M449" s="127"/>
      <c r="N449" s="158"/>
      <c r="O449" s="127"/>
      <c r="P449" s="198">
        <f>中間シート!D391</f>
        <v>0</v>
      </c>
      <c r="Q449" s="191"/>
      <c r="R449" s="198">
        <f>中間シート!G391</f>
        <v>0</v>
      </c>
      <c r="S449" s="191"/>
      <c r="T449" s="199" t="s">
        <v>40</v>
      </c>
      <c r="U449" s="191"/>
      <c r="V449" s="198">
        <f>中間シート!H391</f>
        <v>0</v>
      </c>
      <c r="W449" s="158"/>
      <c r="X449" s="189" t="str">
        <f>IF($B449&lt;=入力シート!$F$22,""&amp;中間シート!X335,"")</f>
        <v/>
      </c>
      <c r="AQ449" s="177">
        <f>中間シート!E335</f>
        <v>0</v>
      </c>
      <c r="AR449" s="148">
        <f>IF(F449="含まれている",1,IF(F449="含まれていない",2,0))</f>
        <v>0</v>
      </c>
      <c r="AS449" s="148" t="str">
        <f>IF(中間シート!N335=1,1,中間シート!P241)</f>
        <v/>
      </c>
    </row>
    <row r="450" spans="2:45" ht="5.0999999999999996" customHeight="1" thickBot="1" x14ac:dyDescent="0.25">
      <c r="C450" s="158"/>
      <c r="D450" s="158"/>
      <c r="E450" s="197"/>
      <c r="F450" s="191"/>
      <c r="G450" s="191"/>
      <c r="H450" s="191"/>
      <c r="I450" s="192"/>
      <c r="J450" s="127"/>
      <c r="K450" s="127"/>
      <c r="L450" s="127"/>
      <c r="M450" s="127"/>
      <c r="N450" s="158"/>
      <c r="O450" s="127"/>
      <c r="P450" s="191" t="s">
        <v>79</v>
      </c>
      <c r="Q450" s="191"/>
      <c r="R450" s="191" t="s">
        <v>79</v>
      </c>
      <c r="S450" s="191"/>
      <c r="T450" s="191"/>
      <c r="U450" s="191"/>
      <c r="V450" s="191" t="s">
        <v>79</v>
      </c>
      <c r="W450" s="158"/>
      <c r="X450" s="189" t="s">
        <v>79</v>
      </c>
      <c r="AQ450" s="148" t="s">
        <v>79</v>
      </c>
      <c r="AR450" s="148"/>
      <c r="AS450" s="148"/>
    </row>
    <row r="451" spans="2:45" ht="18" customHeight="1" thickBot="1" x14ac:dyDescent="0.25">
      <c r="B451" s="145">
        <v>19</v>
      </c>
      <c r="C451" s="158"/>
      <c r="D451" s="158"/>
      <c r="E451" s="197" t="s">
        <v>551</v>
      </c>
      <c r="F451" s="275"/>
      <c r="G451" s="276"/>
      <c r="H451" s="277"/>
      <c r="I451" s="192"/>
      <c r="J451" s="117"/>
      <c r="K451" s="127"/>
      <c r="L451" s="117"/>
      <c r="M451" s="127"/>
      <c r="N451" s="158"/>
      <c r="O451" s="127"/>
      <c r="P451" s="191" t="s">
        <v>79</v>
      </c>
      <c r="Q451" s="191"/>
      <c r="R451" s="191" t="s">
        <v>79</v>
      </c>
      <c r="S451" s="191"/>
      <c r="T451" s="191"/>
      <c r="U451" s="191"/>
      <c r="V451" s="191" t="s">
        <v>79</v>
      </c>
      <c r="W451" s="158"/>
      <c r="X451" s="189" t="str">
        <f>IF($B451&lt;=入力シート!$F$22,""&amp;中間シート!X336,"")</f>
        <v/>
      </c>
      <c r="AQ451" s="177">
        <f>中間シート!E336</f>
        <v>0</v>
      </c>
      <c r="AR451" s="148">
        <f>IF(F451="含まれている",1,IF(F451="含まれていない",2,0))</f>
        <v>0</v>
      </c>
      <c r="AS451" s="148" t="str">
        <f>IF(中間シート!N336=1,1,中間シート!P242)</f>
        <v/>
      </c>
    </row>
    <row r="452" spans="2:45" ht="5.0999999999999996" customHeight="1" thickBot="1" x14ac:dyDescent="0.25">
      <c r="C452" s="158"/>
      <c r="D452" s="158"/>
      <c r="E452" s="197"/>
      <c r="F452" s="191"/>
      <c r="G452" s="191"/>
      <c r="H452" s="191"/>
      <c r="I452" s="192"/>
      <c r="J452" s="127"/>
      <c r="K452" s="127"/>
      <c r="L452" s="127"/>
      <c r="M452" s="127"/>
      <c r="N452" s="158"/>
      <c r="O452" s="127"/>
      <c r="P452" s="191" t="s">
        <v>79</v>
      </c>
      <c r="Q452" s="191"/>
      <c r="R452" s="191" t="s">
        <v>79</v>
      </c>
      <c r="S452" s="191"/>
      <c r="T452" s="191"/>
      <c r="U452" s="191"/>
      <c r="V452" s="191" t="s">
        <v>79</v>
      </c>
      <c r="W452" s="158"/>
      <c r="X452" s="189" t="s">
        <v>79</v>
      </c>
      <c r="AQ452" s="177" t="s">
        <v>79</v>
      </c>
      <c r="AR452" s="148"/>
      <c r="AS452" s="148"/>
    </row>
    <row r="453" spans="2:45" ht="18" customHeight="1" thickBot="1" x14ac:dyDescent="0.25">
      <c r="B453" s="145">
        <v>19</v>
      </c>
      <c r="C453" s="158"/>
      <c r="D453" s="158"/>
      <c r="E453" s="197" t="s">
        <v>552</v>
      </c>
      <c r="F453" s="275"/>
      <c r="G453" s="276"/>
      <c r="H453" s="277"/>
      <c r="I453" s="192"/>
      <c r="J453" s="117"/>
      <c r="K453" s="127"/>
      <c r="L453" s="117"/>
      <c r="M453" s="127"/>
      <c r="N453" s="158"/>
      <c r="O453" s="127"/>
      <c r="P453" s="191" t="s">
        <v>79</v>
      </c>
      <c r="Q453" s="191"/>
      <c r="R453" s="191" t="s">
        <v>79</v>
      </c>
      <c r="S453" s="191"/>
      <c r="T453" s="191"/>
      <c r="U453" s="191"/>
      <c r="V453" s="191" t="s">
        <v>79</v>
      </c>
      <c r="W453" s="158"/>
      <c r="X453" s="189" t="str">
        <f>IF($B453&lt;=入力シート!$F$22,""&amp;中間シート!X337,"")</f>
        <v/>
      </c>
      <c r="AQ453" s="177">
        <f>中間シート!E337</f>
        <v>0</v>
      </c>
      <c r="AR453" s="148">
        <f>IF(F453="含まれている",1,IF(F453="含まれていない",2,0))</f>
        <v>0</v>
      </c>
      <c r="AS453" s="148" t="str">
        <f>IF(中間シート!N337=1,1,中間シート!P243)</f>
        <v/>
      </c>
    </row>
    <row r="454" spans="2:45" x14ac:dyDescent="0.2">
      <c r="C454" s="158"/>
      <c r="D454" s="158"/>
      <c r="E454" s="153"/>
      <c r="F454" s="127"/>
      <c r="G454" s="127"/>
      <c r="H454" s="127"/>
      <c r="I454" s="127"/>
      <c r="J454" s="127"/>
      <c r="K454" s="127"/>
      <c r="L454" s="127"/>
      <c r="M454" s="191"/>
      <c r="N454" s="191"/>
      <c r="O454" s="191"/>
      <c r="P454" s="127" t="s">
        <v>79</v>
      </c>
      <c r="Q454" s="191"/>
      <c r="R454" s="191" t="s">
        <v>79</v>
      </c>
      <c r="S454" s="191"/>
      <c r="T454" s="191"/>
      <c r="U454" s="191"/>
      <c r="V454" s="191" t="s">
        <v>79</v>
      </c>
      <c r="W454" s="158"/>
      <c r="X454" s="189" t="s">
        <v>79</v>
      </c>
      <c r="AQ454" s="148" t="s">
        <v>79</v>
      </c>
      <c r="AR454" s="148"/>
      <c r="AS454" s="148"/>
    </row>
    <row r="455" spans="2:45" ht="15.6" thickBot="1" x14ac:dyDescent="0.25">
      <c r="C455" s="200"/>
      <c r="D455" s="200"/>
      <c r="E455" s="201"/>
      <c r="F455" s="200"/>
      <c r="G455" s="200"/>
      <c r="H455" s="200"/>
      <c r="I455" s="202"/>
      <c r="J455" s="200"/>
      <c r="K455" s="200"/>
      <c r="L455" s="200"/>
      <c r="M455" s="200"/>
      <c r="N455" s="200"/>
      <c r="O455" s="200"/>
      <c r="P455" s="200" t="s">
        <v>79</v>
      </c>
      <c r="Q455" s="200"/>
      <c r="R455" s="200" t="s">
        <v>79</v>
      </c>
      <c r="S455" s="200"/>
      <c r="T455" s="200"/>
      <c r="U455" s="200"/>
      <c r="V455" s="200" t="s">
        <v>79</v>
      </c>
      <c r="W455" s="200"/>
      <c r="X455" s="189" t="s">
        <v>79</v>
      </c>
      <c r="AQ455" s="148" t="s">
        <v>79</v>
      </c>
      <c r="AR455" s="148"/>
      <c r="AS455" s="148"/>
    </row>
    <row r="456" spans="2:45" ht="18" customHeight="1" thickBot="1" x14ac:dyDescent="0.25">
      <c r="B456" s="145">
        <v>20</v>
      </c>
      <c r="C456" s="200"/>
      <c r="D456" s="204" t="s">
        <v>66</v>
      </c>
      <c r="E456" s="201" t="s">
        <v>550</v>
      </c>
      <c r="F456" s="275"/>
      <c r="G456" s="276"/>
      <c r="H456" s="277"/>
      <c r="I456" s="202"/>
      <c r="J456" s="117"/>
      <c r="K456" s="205"/>
      <c r="L456" s="117"/>
      <c r="M456" s="205"/>
      <c r="N456" s="203" t="s">
        <v>79</v>
      </c>
      <c r="O456" s="205"/>
      <c r="P456" s="198">
        <f>中間シート!D392</f>
        <v>0</v>
      </c>
      <c r="Q456" s="203"/>
      <c r="R456" s="198">
        <f>中間シート!G392</f>
        <v>0</v>
      </c>
      <c r="S456" s="203"/>
      <c r="T456" s="206" t="s">
        <v>40</v>
      </c>
      <c r="U456" s="203"/>
      <c r="V456" s="198">
        <f>中間シート!H392</f>
        <v>0</v>
      </c>
      <c r="W456" s="200"/>
      <c r="X456" s="189" t="str">
        <f>IF($B456&lt;=入力シート!$F$22,""&amp;中間シート!X338,"")</f>
        <v/>
      </c>
      <c r="AQ456" s="177">
        <f>中間シート!E338</f>
        <v>0</v>
      </c>
      <c r="AR456" s="148">
        <f>IF(F456="含まれている",1,IF(F456="含まれていない",2,0))</f>
        <v>0</v>
      </c>
      <c r="AS456" s="148" t="str">
        <f>IF(中間シート!N338=1,1,中間シート!P244)</f>
        <v/>
      </c>
    </row>
    <row r="457" spans="2:45" ht="5.0999999999999996" customHeight="1" thickBot="1" x14ac:dyDescent="0.25">
      <c r="C457" s="200"/>
      <c r="D457" s="200"/>
      <c r="E457" s="201"/>
      <c r="F457" s="203"/>
      <c r="G457" s="203"/>
      <c r="H457" s="203"/>
      <c r="I457" s="202"/>
      <c r="J457" s="205"/>
      <c r="K457" s="205"/>
      <c r="L457" s="205"/>
      <c r="M457" s="205"/>
      <c r="N457" s="203" t="s">
        <v>79</v>
      </c>
      <c r="O457" s="205"/>
      <c r="P457" s="203" t="s">
        <v>79</v>
      </c>
      <c r="Q457" s="203"/>
      <c r="R457" s="203" t="s">
        <v>79</v>
      </c>
      <c r="S457" s="203"/>
      <c r="T457" s="203"/>
      <c r="U457" s="203"/>
      <c r="V457" s="203" t="s">
        <v>79</v>
      </c>
      <c r="W457" s="200"/>
      <c r="X457" s="189" t="s">
        <v>79</v>
      </c>
      <c r="AQ457" s="148" t="s">
        <v>79</v>
      </c>
      <c r="AR457" s="148"/>
      <c r="AS457" s="148"/>
    </row>
    <row r="458" spans="2:45" ht="18" customHeight="1" thickBot="1" x14ac:dyDescent="0.25">
      <c r="B458" s="145">
        <v>20</v>
      </c>
      <c r="C458" s="200"/>
      <c r="D458" s="200"/>
      <c r="E458" s="201" t="s">
        <v>551</v>
      </c>
      <c r="F458" s="275"/>
      <c r="G458" s="276"/>
      <c r="H458" s="277"/>
      <c r="I458" s="202"/>
      <c r="J458" s="117"/>
      <c r="K458" s="205"/>
      <c r="L458" s="117"/>
      <c r="M458" s="205"/>
      <c r="N458" s="203" t="s">
        <v>79</v>
      </c>
      <c r="O458" s="205"/>
      <c r="P458" s="203" t="s">
        <v>79</v>
      </c>
      <c r="Q458" s="203"/>
      <c r="R458" s="203" t="s">
        <v>79</v>
      </c>
      <c r="S458" s="203"/>
      <c r="T458" s="203"/>
      <c r="U458" s="203"/>
      <c r="V458" s="203" t="s">
        <v>79</v>
      </c>
      <c r="W458" s="200"/>
      <c r="X458" s="189" t="str">
        <f>IF($B458&lt;=入力シート!$F$22,""&amp;中間シート!X339,"")</f>
        <v/>
      </c>
      <c r="AQ458" s="177">
        <f>中間シート!E339</f>
        <v>0</v>
      </c>
      <c r="AR458" s="148">
        <f>IF(F458="含まれている",1,IF(F458="含まれていない",2,0))</f>
        <v>0</v>
      </c>
      <c r="AS458" s="148" t="str">
        <f>IF(中間シート!N339=1,1,中間シート!P245)</f>
        <v/>
      </c>
    </row>
    <row r="459" spans="2:45" ht="5.0999999999999996" customHeight="1" thickBot="1" x14ac:dyDescent="0.25">
      <c r="C459" s="200"/>
      <c r="D459" s="200"/>
      <c r="E459" s="201"/>
      <c r="F459" s="203"/>
      <c r="G459" s="203"/>
      <c r="H459" s="203"/>
      <c r="I459" s="202"/>
      <c r="J459" s="205"/>
      <c r="K459" s="205"/>
      <c r="L459" s="205"/>
      <c r="M459" s="205"/>
      <c r="N459" s="203" t="s">
        <v>79</v>
      </c>
      <c r="O459" s="205"/>
      <c r="P459" s="203" t="s">
        <v>79</v>
      </c>
      <c r="Q459" s="203"/>
      <c r="R459" s="203" t="s">
        <v>79</v>
      </c>
      <c r="S459" s="203"/>
      <c r="T459" s="203"/>
      <c r="U459" s="203"/>
      <c r="V459" s="203" t="s">
        <v>79</v>
      </c>
      <c r="W459" s="200"/>
      <c r="X459" s="189" t="s">
        <v>79</v>
      </c>
      <c r="AQ459" s="177" t="s">
        <v>79</v>
      </c>
      <c r="AR459" s="148"/>
      <c r="AS459" s="148"/>
    </row>
    <row r="460" spans="2:45" ht="18" customHeight="1" thickBot="1" x14ac:dyDescent="0.25">
      <c r="B460" s="145">
        <v>20</v>
      </c>
      <c r="C460" s="200"/>
      <c r="D460" s="200"/>
      <c r="E460" s="201" t="s">
        <v>552</v>
      </c>
      <c r="F460" s="275"/>
      <c r="G460" s="276"/>
      <c r="H460" s="277"/>
      <c r="I460" s="202"/>
      <c r="J460" s="117"/>
      <c r="K460" s="205"/>
      <c r="L460" s="117"/>
      <c r="M460" s="205"/>
      <c r="N460" s="203" t="s">
        <v>79</v>
      </c>
      <c r="O460" s="205"/>
      <c r="P460" s="203" t="s">
        <v>79</v>
      </c>
      <c r="Q460" s="203"/>
      <c r="R460" s="203" t="s">
        <v>79</v>
      </c>
      <c r="S460" s="203"/>
      <c r="T460" s="203"/>
      <c r="U460" s="203"/>
      <c r="V460" s="203" t="s">
        <v>79</v>
      </c>
      <c r="W460" s="200"/>
      <c r="X460" s="189" t="str">
        <f>IF($B460&lt;=入力シート!$F$22,""&amp;中間シート!X340,"")</f>
        <v/>
      </c>
      <c r="AQ460" s="177">
        <f>中間シート!E340</f>
        <v>0</v>
      </c>
      <c r="AR460" s="148">
        <f>IF(F460="含まれている",1,IF(F460="含まれていない",2,0))</f>
        <v>0</v>
      </c>
      <c r="AS460" s="148" t="str">
        <f>IF(中間シート!N340=1,1,中間シート!P246)</f>
        <v/>
      </c>
    </row>
    <row r="461" spans="2:45" x14ac:dyDescent="0.2">
      <c r="C461" s="200"/>
      <c r="D461" s="200"/>
      <c r="E461" s="201"/>
      <c r="F461" s="205"/>
      <c r="G461" s="205"/>
      <c r="H461" s="205"/>
      <c r="I461" s="205"/>
      <c r="J461" s="205"/>
      <c r="K461" s="205"/>
      <c r="L461" s="205"/>
      <c r="M461" s="203"/>
      <c r="N461" s="203"/>
      <c r="O461" s="203"/>
      <c r="P461" s="205" t="s">
        <v>79</v>
      </c>
      <c r="Q461" s="203"/>
      <c r="R461" s="203" t="s">
        <v>79</v>
      </c>
      <c r="S461" s="203"/>
      <c r="T461" s="203"/>
      <c r="U461" s="203"/>
      <c r="V461" s="203" t="s">
        <v>79</v>
      </c>
      <c r="W461" s="200"/>
      <c r="X461" s="189" t="s">
        <v>79</v>
      </c>
      <c r="AQ461" s="148" t="s">
        <v>79</v>
      </c>
      <c r="AR461" s="148"/>
      <c r="AS461" s="148"/>
    </row>
    <row r="462" spans="2:45" ht="15.6" thickBot="1" x14ac:dyDescent="0.25">
      <c r="C462" s="158"/>
      <c r="D462" s="158"/>
      <c r="E462" s="197"/>
      <c r="F462" s="191"/>
      <c r="G462" s="191"/>
      <c r="H462" s="191"/>
      <c r="I462" s="192"/>
      <c r="J462" s="191"/>
      <c r="K462" s="191"/>
      <c r="L462" s="191"/>
      <c r="M462" s="191"/>
      <c r="N462" s="191"/>
      <c r="O462" s="191"/>
      <c r="P462" s="191" t="s">
        <v>79</v>
      </c>
      <c r="Q462" s="191"/>
      <c r="R462" s="191" t="s">
        <v>79</v>
      </c>
      <c r="S462" s="191"/>
      <c r="T462" s="191"/>
      <c r="U462" s="191"/>
      <c r="V462" s="191" t="s">
        <v>79</v>
      </c>
      <c r="W462" s="158"/>
      <c r="X462" s="189" t="s">
        <v>79</v>
      </c>
      <c r="AQ462" s="148" t="s">
        <v>79</v>
      </c>
      <c r="AR462" s="148"/>
      <c r="AS462" s="148"/>
    </row>
    <row r="463" spans="2:45" ht="18" customHeight="1" thickBot="1" x14ac:dyDescent="0.25">
      <c r="B463" s="145">
        <v>21</v>
      </c>
      <c r="C463" s="158"/>
      <c r="D463" s="152" t="s">
        <v>67</v>
      </c>
      <c r="E463" s="197" t="s">
        <v>550</v>
      </c>
      <c r="F463" s="275"/>
      <c r="G463" s="276"/>
      <c r="H463" s="277"/>
      <c r="I463" s="192"/>
      <c r="J463" s="117"/>
      <c r="K463" s="127"/>
      <c r="L463" s="117"/>
      <c r="M463" s="127"/>
      <c r="N463" s="158"/>
      <c r="O463" s="127"/>
      <c r="P463" s="198">
        <f>中間シート!D393</f>
        <v>0</v>
      </c>
      <c r="Q463" s="191"/>
      <c r="R463" s="198">
        <f>中間シート!G393</f>
        <v>0</v>
      </c>
      <c r="S463" s="191"/>
      <c r="T463" s="199" t="s">
        <v>40</v>
      </c>
      <c r="U463" s="191"/>
      <c r="V463" s="198">
        <f>中間シート!H393</f>
        <v>0</v>
      </c>
      <c r="W463" s="158"/>
      <c r="X463" s="189" t="str">
        <f>IF($B463&lt;=入力シート!$F$22,""&amp;中間シート!X341,"")</f>
        <v/>
      </c>
      <c r="AQ463" s="177">
        <f>中間シート!E341</f>
        <v>0</v>
      </c>
      <c r="AR463" s="148">
        <f>IF(F463="含まれている",1,IF(F463="含まれていない",2,0))</f>
        <v>0</v>
      </c>
      <c r="AS463" s="148" t="str">
        <f>IF(中間シート!N341=1,1,中間シート!P247)</f>
        <v/>
      </c>
    </row>
    <row r="464" spans="2:45" ht="5.0999999999999996" customHeight="1" thickBot="1" x14ac:dyDescent="0.25">
      <c r="C464" s="158"/>
      <c r="D464" s="158"/>
      <c r="E464" s="197"/>
      <c r="F464" s="191"/>
      <c r="G464" s="191"/>
      <c r="H464" s="191"/>
      <c r="I464" s="192"/>
      <c r="J464" s="127"/>
      <c r="K464" s="127"/>
      <c r="L464" s="127"/>
      <c r="M464" s="127"/>
      <c r="N464" s="158"/>
      <c r="O464" s="127"/>
      <c r="P464" s="191" t="s">
        <v>79</v>
      </c>
      <c r="Q464" s="191"/>
      <c r="R464" s="191" t="s">
        <v>79</v>
      </c>
      <c r="S464" s="191"/>
      <c r="T464" s="191"/>
      <c r="U464" s="191"/>
      <c r="V464" s="191" t="s">
        <v>79</v>
      </c>
      <c r="W464" s="158"/>
      <c r="X464" s="189" t="s">
        <v>79</v>
      </c>
      <c r="AQ464" s="148" t="s">
        <v>79</v>
      </c>
      <c r="AR464" s="148"/>
      <c r="AS464" s="148"/>
    </row>
    <row r="465" spans="2:45" ht="18" customHeight="1" thickBot="1" x14ac:dyDescent="0.25">
      <c r="B465" s="145">
        <v>21</v>
      </c>
      <c r="C465" s="158"/>
      <c r="D465" s="158"/>
      <c r="E465" s="197" t="s">
        <v>551</v>
      </c>
      <c r="F465" s="275"/>
      <c r="G465" s="276"/>
      <c r="H465" s="277"/>
      <c r="I465" s="192"/>
      <c r="J465" s="117"/>
      <c r="K465" s="127"/>
      <c r="L465" s="117"/>
      <c r="M465" s="127"/>
      <c r="N465" s="158"/>
      <c r="O465" s="127"/>
      <c r="P465" s="191" t="s">
        <v>79</v>
      </c>
      <c r="Q465" s="191"/>
      <c r="R465" s="191" t="s">
        <v>79</v>
      </c>
      <c r="S465" s="191"/>
      <c r="T465" s="191"/>
      <c r="U465" s="191"/>
      <c r="V465" s="191" t="s">
        <v>79</v>
      </c>
      <c r="W465" s="158"/>
      <c r="X465" s="189" t="str">
        <f>IF($B465&lt;=入力シート!$F$22,""&amp;中間シート!X342,"")</f>
        <v/>
      </c>
      <c r="AQ465" s="177">
        <f>中間シート!E342</f>
        <v>0</v>
      </c>
      <c r="AR465" s="148">
        <f>IF(F465="含まれている",1,IF(F465="含まれていない",2,0))</f>
        <v>0</v>
      </c>
      <c r="AS465" s="148" t="str">
        <f>IF(中間シート!N342=1,1,中間シート!P248)</f>
        <v/>
      </c>
    </row>
    <row r="466" spans="2:45" ht="5.0999999999999996" customHeight="1" thickBot="1" x14ac:dyDescent="0.25">
      <c r="C466" s="158"/>
      <c r="D466" s="158"/>
      <c r="E466" s="197"/>
      <c r="F466" s="191"/>
      <c r="G466" s="191"/>
      <c r="H466" s="191"/>
      <c r="I466" s="192"/>
      <c r="J466" s="127"/>
      <c r="K466" s="127"/>
      <c r="L466" s="127"/>
      <c r="M466" s="127"/>
      <c r="N466" s="158"/>
      <c r="O466" s="127"/>
      <c r="P466" s="191" t="s">
        <v>79</v>
      </c>
      <c r="Q466" s="191"/>
      <c r="R466" s="191" t="s">
        <v>79</v>
      </c>
      <c r="S466" s="191"/>
      <c r="T466" s="191"/>
      <c r="U466" s="191"/>
      <c r="V466" s="191" t="s">
        <v>79</v>
      </c>
      <c r="W466" s="158"/>
      <c r="X466" s="189" t="s">
        <v>79</v>
      </c>
      <c r="AQ466" s="177" t="s">
        <v>79</v>
      </c>
      <c r="AR466" s="148"/>
      <c r="AS466" s="148"/>
    </row>
    <row r="467" spans="2:45" ht="18" customHeight="1" thickBot="1" x14ac:dyDescent="0.25">
      <c r="B467" s="145">
        <v>21</v>
      </c>
      <c r="C467" s="158"/>
      <c r="D467" s="158"/>
      <c r="E467" s="197" t="s">
        <v>552</v>
      </c>
      <c r="F467" s="275"/>
      <c r="G467" s="276"/>
      <c r="H467" s="277"/>
      <c r="I467" s="192"/>
      <c r="J467" s="117"/>
      <c r="K467" s="127"/>
      <c r="L467" s="117"/>
      <c r="M467" s="127"/>
      <c r="N467" s="158"/>
      <c r="O467" s="127"/>
      <c r="P467" s="191" t="s">
        <v>79</v>
      </c>
      <c r="Q467" s="191"/>
      <c r="R467" s="191" t="s">
        <v>79</v>
      </c>
      <c r="S467" s="191"/>
      <c r="T467" s="191"/>
      <c r="U467" s="191"/>
      <c r="V467" s="191" t="s">
        <v>79</v>
      </c>
      <c r="W467" s="158"/>
      <c r="X467" s="189" t="str">
        <f>IF($B467&lt;=入力シート!$F$22,""&amp;中間シート!X343,"")</f>
        <v/>
      </c>
      <c r="AQ467" s="177">
        <f>中間シート!E343</f>
        <v>0</v>
      </c>
      <c r="AR467" s="148">
        <f>IF(F467="含まれている",1,IF(F467="含まれていない",2,0))</f>
        <v>0</v>
      </c>
      <c r="AS467" s="148" t="str">
        <f>IF(中間シート!N343=1,1,中間シート!P249)</f>
        <v/>
      </c>
    </row>
    <row r="468" spans="2:45" x14ac:dyDescent="0.2">
      <c r="C468" s="158"/>
      <c r="D468" s="158"/>
      <c r="E468" s="153"/>
      <c r="F468" s="127"/>
      <c r="G468" s="127"/>
      <c r="H468" s="127"/>
      <c r="I468" s="127"/>
      <c r="J468" s="127"/>
      <c r="K468" s="127"/>
      <c r="L468" s="127"/>
      <c r="M468" s="191"/>
      <c r="N468" s="191"/>
      <c r="O468" s="191"/>
      <c r="P468" s="127" t="s">
        <v>79</v>
      </c>
      <c r="Q468" s="191"/>
      <c r="R468" s="191" t="s">
        <v>79</v>
      </c>
      <c r="S468" s="191"/>
      <c r="T468" s="191"/>
      <c r="U468" s="191"/>
      <c r="V468" s="191" t="s">
        <v>79</v>
      </c>
      <c r="W468" s="158"/>
      <c r="X468" s="189" t="s">
        <v>79</v>
      </c>
      <c r="AQ468" s="148" t="s">
        <v>79</v>
      </c>
      <c r="AR468" s="148"/>
      <c r="AS468" s="148"/>
    </row>
    <row r="469" spans="2:45" ht="15.6" thickBot="1" x14ac:dyDescent="0.25">
      <c r="C469" s="200"/>
      <c r="D469" s="200"/>
      <c r="E469" s="201"/>
      <c r="F469" s="200"/>
      <c r="G469" s="200"/>
      <c r="H469" s="200"/>
      <c r="I469" s="202"/>
      <c r="J469" s="200"/>
      <c r="K469" s="200"/>
      <c r="L469" s="200"/>
      <c r="M469" s="200"/>
      <c r="N469" s="200"/>
      <c r="O469" s="200"/>
      <c r="P469" s="200" t="s">
        <v>79</v>
      </c>
      <c r="Q469" s="200"/>
      <c r="R469" s="200" t="s">
        <v>79</v>
      </c>
      <c r="S469" s="200"/>
      <c r="T469" s="200"/>
      <c r="U469" s="200"/>
      <c r="V469" s="200" t="s">
        <v>79</v>
      </c>
      <c r="W469" s="200"/>
      <c r="X469" s="189" t="s">
        <v>79</v>
      </c>
      <c r="AQ469" s="148" t="s">
        <v>79</v>
      </c>
      <c r="AR469" s="148"/>
      <c r="AS469" s="148"/>
    </row>
    <row r="470" spans="2:45" ht="18" customHeight="1" thickBot="1" x14ac:dyDescent="0.25">
      <c r="B470" s="145">
        <v>22</v>
      </c>
      <c r="C470" s="200"/>
      <c r="D470" s="204" t="s">
        <v>68</v>
      </c>
      <c r="E470" s="201" t="s">
        <v>550</v>
      </c>
      <c r="F470" s="275"/>
      <c r="G470" s="276"/>
      <c r="H470" s="277"/>
      <c r="I470" s="202"/>
      <c r="J470" s="117"/>
      <c r="K470" s="205"/>
      <c r="L470" s="117"/>
      <c r="M470" s="205"/>
      <c r="N470" s="203" t="s">
        <v>79</v>
      </c>
      <c r="O470" s="205"/>
      <c r="P470" s="198">
        <f>中間シート!D394</f>
        <v>0</v>
      </c>
      <c r="Q470" s="203"/>
      <c r="R470" s="198">
        <f>中間シート!G394</f>
        <v>0</v>
      </c>
      <c r="S470" s="203"/>
      <c r="T470" s="206" t="s">
        <v>40</v>
      </c>
      <c r="U470" s="203"/>
      <c r="V470" s="198">
        <f>中間シート!H394</f>
        <v>0</v>
      </c>
      <c r="W470" s="200"/>
      <c r="X470" s="189" t="str">
        <f>IF($B470&lt;=入力シート!$F$22,""&amp;中間シート!X344,"")</f>
        <v/>
      </c>
      <c r="AQ470" s="177">
        <f>中間シート!E344</f>
        <v>0</v>
      </c>
      <c r="AR470" s="148">
        <f>IF(F470="含まれている",1,IF(F470="含まれていない",2,0))</f>
        <v>0</v>
      </c>
      <c r="AS470" s="148" t="str">
        <f>IF(中間シート!N344=1,1,中間シート!P250)</f>
        <v/>
      </c>
    </row>
    <row r="471" spans="2:45" ht="5.0999999999999996" customHeight="1" thickBot="1" x14ac:dyDescent="0.25">
      <c r="C471" s="200"/>
      <c r="D471" s="200"/>
      <c r="E471" s="201"/>
      <c r="F471" s="203"/>
      <c r="G471" s="203"/>
      <c r="H471" s="203"/>
      <c r="I471" s="202"/>
      <c r="J471" s="205"/>
      <c r="K471" s="205"/>
      <c r="L471" s="205"/>
      <c r="M471" s="205"/>
      <c r="N471" s="203" t="s">
        <v>79</v>
      </c>
      <c r="O471" s="205"/>
      <c r="P471" s="203" t="s">
        <v>79</v>
      </c>
      <c r="Q471" s="203"/>
      <c r="R471" s="203" t="s">
        <v>79</v>
      </c>
      <c r="S471" s="203"/>
      <c r="T471" s="203"/>
      <c r="U471" s="203"/>
      <c r="V471" s="203" t="s">
        <v>79</v>
      </c>
      <c r="W471" s="200"/>
      <c r="X471" s="189" t="s">
        <v>79</v>
      </c>
      <c r="AQ471" s="148" t="s">
        <v>79</v>
      </c>
      <c r="AR471" s="148"/>
      <c r="AS471" s="148"/>
    </row>
    <row r="472" spans="2:45" ht="18" customHeight="1" thickBot="1" x14ac:dyDescent="0.25">
      <c r="B472" s="145">
        <v>22</v>
      </c>
      <c r="C472" s="200"/>
      <c r="D472" s="200"/>
      <c r="E472" s="201" t="s">
        <v>551</v>
      </c>
      <c r="F472" s="275"/>
      <c r="G472" s="276"/>
      <c r="H472" s="277"/>
      <c r="I472" s="202"/>
      <c r="J472" s="117"/>
      <c r="K472" s="205"/>
      <c r="L472" s="117"/>
      <c r="M472" s="205"/>
      <c r="N472" s="203" t="s">
        <v>79</v>
      </c>
      <c r="O472" s="205"/>
      <c r="P472" s="203" t="s">
        <v>79</v>
      </c>
      <c r="Q472" s="203"/>
      <c r="R472" s="203" t="s">
        <v>79</v>
      </c>
      <c r="S472" s="203"/>
      <c r="T472" s="203"/>
      <c r="U472" s="203"/>
      <c r="V472" s="203" t="s">
        <v>79</v>
      </c>
      <c r="W472" s="200"/>
      <c r="X472" s="189" t="str">
        <f>IF($B472&lt;=入力シート!$F$22,""&amp;中間シート!X345,"")</f>
        <v/>
      </c>
      <c r="AQ472" s="177">
        <f>中間シート!E345</f>
        <v>0</v>
      </c>
      <c r="AR472" s="148">
        <f>IF(F472="含まれている",1,IF(F472="含まれていない",2,0))</f>
        <v>0</v>
      </c>
      <c r="AS472" s="148" t="str">
        <f>IF(中間シート!N345=1,1,中間シート!P251)</f>
        <v/>
      </c>
    </row>
    <row r="473" spans="2:45" ht="5.0999999999999996" customHeight="1" thickBot="1" x14ac:dyDescent="0.25">
      <c r="C473" s="200"/>
      <c r="D473" s="200"/>
      <c r="E473" s="201"/>
      <c r="F473" s="203"/>
      <c r="G473" s="203"/>
      <c r="H473" s="203"/>
      <c r="I473" s="202"/>
      <c r="J473" s="205"/>
      <c r="K473" s="205"/>
      <c r="L473" s="205"/>
      <c r="M473" s="205"/>
      <c r="N473" s="203" t="s">
        <v>79</v>
      </c>
      <c r="O473" s="205"/>
      <c r="P473" s="203" t="s">
        <v>79</v>
      </c>
      <c r="Q473" s="203"/>
      <c r="R473" s="203" t="s">
        <v>79</v>
      </c>
      <c r="S473" s="203"/>
      <c r="T473" s="203"/>
      <c r="U473" s="203"/>
      <c r="V473" s="203" t="s">
        <v>79</v>
      </c>
      <c r="W473" s="200"/>
      <c r="X473" s="189" t="s">
        <v>79</v>
      </c>
      <c r="AQ473" s="177" t="s">
        <v>79</v>
      </c>
      <c r="AR473" s="148"/>
      <c r="AS473" s="148"/>
    </row>
    <row r="474" spans="2:45" ht="18" customHeight="1" thickBot="1" x14ac:dyDescent="0.25">
      <c r="B474" s="145">
        <v>22</v>
      </c>
      <c r="C474" s="200"/>
      <c r="D474" s="200"/>
      <c r="E474" s="201" t="s">
        <v>552</v>
      </c>
      <c r="F474" s="275"/>
      <c r="G474" s="276"/>
      <c r="H474" s="277"/>
      <c r="I474" s="202"/>
      <c r="J474" s="117"/>
      <c r="K474" s="205"/>
      <c r="L474" s="117"/>
      <c r="M474" s="205"/>
      <c r="N474" s="203" t="s">
        <v>79</v>
      </c>
      <c r="O474" s="205"/>
      <c r="P474" s="203" t="s">
        <v>79</v>
      </c>
      <c r="Q474" s="203"/>
      <c r="R474" s="203" t="s">
        <v>79</v>
      </c>
      <c r="S474" s="203"/>
      <c r="T474" s="203"/>
      <c r="U474" s="203"/>
      <c r="V474" s="203" t="s">
        <v>79</v>
      </c>
      <c r="W474" s="200"/>
      <c r="X474" s="189" t="str">
        <f>IF($B474&lt;=入力シート!$F$22,""&amp;中間シート!X346,"")</f>
        <v/>
      </c>
      <c r="AQ474" s="177">
        <f>中間シート!E346</f>
        <v>0</v>
      </c>
      <c r="AR474" s="148">
        <f>IF(F474="含まれている",1,IF(F474="含まれていない",2,0))</f>
        <v>0</v>
      </c>
      <c r="AS474" s="148" t="str">
        <f>IF(中間シート!N346=1,1,中間シート!P252)</f>
        <v/>
      </c>
    </row>
    <row r="475" spans="2:45" x14ac:dyDescent="0.2">
      <c r="C475" s="200"/>
      <c r="D475" s="200"/>
      <c r="E475" s="201"/>
      <c r="F475" s="205"/>
      <c r="G475" s="205"/>
      <c r="H475" s="205"/>
      <c r="I475" s="205"/>
      <c r="J475" s="205"/>
      <c r="K475" s="205"/>
      <c r="L475" s="205"/>
      <c r="M475" s="203"/>
      <c r="N475" s="203"/>
      <c r="O475" s="203"/>
      <c r="P475" s="205" t="s">
        <v>79</v>
      </c>
      <c r="Q475" s="203"/>
      <c r="R475" s="203" t="s">
        <v>79</v>
      </c>
      <c r="S475" s="203"/>
      <c r="T475" s="203"/>
      <c r="U475" s="203"/>
      <c r="V475" s="203" t="s">
        <v>79</v>
      </c>
      <c r="W475" s="200"/>
      <c r="X475" s="189" t="s">
        <v>79</v>
      </c>
      <c r="AQ475" s="148" t="s">
        <v>79</v>
      </c>
      <c r="AR475" s="148"/>
      <c r="AS475" s="148"/>
    </row>
    <row r="476" spans="2:45" ht="15.6" thickBot="1" x14ac:dyDescent="0.25">
      <c r="C476" s="158"/>
      <c r="D476" s="158"/>
      <c r="E476" s="197"/>
      <c r="F476" s="191"/>
      <c r="G476" s="191"/>
      <c r="H476" s="191"/>
      <c r="I476" s="192"/>
      <c r="J476" s="191"/>
      <c r="K476" s="191"/>
      <c r="L476" s="191"/>
      <c r="M476" s="191"/>
      <c r="N476" s="191"/>
      <c r="O476" s="191"/>
      <c r="P476" s="191" t="s">
        <v>79</v>
      </c>
      <c r="Q476" s="191"/>
      <c r="R476" s="191" t="s">
        <v>79</v>
      </c>
      <c r="S476" s="191"/>
      <c r="T476" s="191"/>
      <c r="U476" s="191"/>
      <c r="V476" s="191" t="s">
        <v>79</v>
      </c>
      <c r="W476" s="158"/>
      <c r="X476" s="189" t="s">
        <v>79</v>
      </c>
      <c r="AQ476" s="148" t="s">
        <v>79</v>
      </c>
      <c r="AR476" s="148"/>
      <c r="AS476" s="148"/>
    </row>
    <row r="477" spans="2:45" ht="18" customHeight="1" thickBot="1" x14ac:dyDescent="0.25">
      <c r="B477" s="145">
        <v>23</v>
      </c>
      <c r="C477" s="158"/>
      <c r="D477" s="152" t="s">
        <v>69</v>
      </c>
      <c r="E477" s="197" t="s">
        <v>550</v>
      </c>
      <c r="F477" s="275"/>
      <c r="G477" s="276"/>
      <c r="H477" s="277"/>
      <c r="I477" s="192"/>
      <c r="J477" s="117"/>
      <c r="K477" s="127"/>
      <c r="L477" s="117"/>
      <c r="M477" s="127"/>
      <c r="N477" s="158"/>
      <c r="O477" s="127"/>
      <c r="P477" s="198">
        <f>中間シート!D395</f>
        <v>0</v>
      </c>
      <c r="Q477" s="191"/>
      <c r="R477" s="198">
        <f>中間シート!G395</f>
        <v>0</v>
      </c>
      <c r="S477" s="191"/>
      <c r="T477" s="199" t="s">
        <v>40</v>
      </c>
      <c r="U477" s="191"/>
      <c r="V477" s="198">
        <f>中間シート!H395</f>
        <v>0</v>
      </c>
      <c r="W477" s="158"/>
      <c r="X477" s="189" t="str">
        <f>IF($B477&lt;=入力シート!$F$22,""&amp;中間シート!X347,"")</f>
        <v/>
      </c>
      <c r="AQ477" s="177">
        <f>中間シート!E347</f>
        <v>0</v>
      </c>
      <c r="AR477" s="148">
        <f>IF(F477="含まれている",1,IF(F477="含まれていない",2,0))</f>
        <v>0</v>
      </c>
      <c r="AS477" s="148" t="str">
        <f>IF(中間シート!N347=1,1,中間シート!P253)</f>
        <v/>
      </c>
    </row>
    <row r="478" spans="2:45" ht="5.0999999999999996" customHeight="1" thickBot="1" x14ac:dyDescent="0.25">
      <c r="C478" s="158"/>
      <c r="D478" s="158"/>
      <c r="E478" s="197"/>
      <c r="F478" s="191"/>
      <c r="G478" s="191"/>
      <c r="H478" s="191"/>
      <c r="I478" s="192"/>
      <c r="J478" s="127"/>
      <c r="K478" s="127"/>
      <c r="L478" s="127"/>
      <c r="M478" s="127"/>
      <c r="N478" s="158"/>
      <c r="O478" s="127"/>
      <c r="P478" s="191" t="s">
        <v>79</v>
      </c>
      <c r="Q478" s="191"/>
      <c r="R478" s="191" t="s">
        <v>79</v>
      </c>
      <c r="S478" s="191"/>
      <c r="T478" s="191"/>
      <c r="U478" s="191"/>
      <c r="V478" s="191" t="s">
        <v>79</v>
      </c>
      <c r="W478" s="158"/>
      <c r="X478" s="189" t="s">
        <v>79</v>
      </c>
      <c r="AQ478" s="148" t="s">
        <v>79</v>
      </c>
      <c r="AR478" s="148"/>
      <c r="AS478" s="148"/>
    </row>
    <row r="479" spans="2:45" ht="18" customHeight="1" thickBot="1" x14ac:dyDescent="0.25">
      <c r="B479" s="145">
        <v>23</v>
      </c>
      <c r="C479" s="158"/>
      <c r="D479" s="158"/>
      <c r="E479" s="197" t="s">
        <v>551</v>
      </c>
      <c r="F479" s="275"/>
      <c r="G479" s="276"/>
      <c r="H479" s="277"/>
      <c r="I479" s="192"/>
      <c r="J479" s="117"/>
      <c r="K479" s="127"/>
      <c r="L479" s="117"/>
      <c r="M479" s="127"/>
      <c r="N479" s="158"/>
      <c r="O479" s="127"/>
      <c r="P479" s="191" t="s">
        <v>79</v>
      </c>
      <c r="Q479" s="191"/>
      <c r="R479" s="191" t="s">
        <v>79</v>
      </c>
      <c r="S479" s="191"/>
      <c r="T479" s="191"/>
      <c r="U479" s="191"/>
      <c r="V479" s="191" t="s">
        <v>79</v>
      </c>
      <c r="W479" s="158"/>
      <c r="X479" s="189" t="str">
        <f>IF($B479&lt;=入力シート!$F$22,""&amp;中間シート!X348,"")</f>
        <v/>
      </c>
      <c r="AQ479" s="177">
        <f>中間シート!E348</f>
        <v>0</v>
      </c>
      <c r="AR479" s="148">
        <f>IF(F479="含まれている",1,IF(F479="含まれていない",2,0))</f>
        <v>0</v>
      </c>
      <c r="AS479" s="148" t="str">
        <f>IF(中間シート!N348=1,1,中間シート!P254)</f>
        <v/>
      </c>
    </row>
    <row r="480" spans="2:45" ht="5.0999999999999996" customHeight="1" thickBot="1" x14ac:dyDescent="0.25">
      <c r="C480" s="158"/>
      <c r="D480" s="158"/>
      <c r="E480" s="197"/>
      <c r="F480" s="191"/>
      <c r="G480" s="191"/>
      <c r="H480" s="191"/>
      <c r="I480" s="192"/>
      <c r="J480" s="127"/>
      <c r="K480" s="127"/>
      <c r="L480" s="127"/>
      <c r="M480" s="127"/>
      <c r="N480" s="158"/>
      <c r="O480" s="127"/>
      <c r="P480" s="191" t="s">
        <v>79</v>
      </c>
      <c r="Q480" s="191"/>
      <c r="R480" s="191" t="s">
        <v>79</v>
      </c>
      <c r="S480" s="191"/>
      <c r="T480" s="191"/>
      <c r="U480" s="191"/>
      <c r="V480" s="191" t="s">
        <v>79</v>
      </c>
      <c r="W480" s="158"/>
      <c r="X480" s="189" t="s">
        <v>79</v>
      </c>
      <c r="AQ480" s="177" t="s">
        <v>79</v>
      </c>
      <c r="AR480" s="148"/>
      <c r="AS480" s="148"/>
    </row>
    <row r="481" spans="2:45" ht="18" customHeight="1" thickBot="1" x14ac:dyDescent="0.25">
      <c r="B481" s="145">
        <v>23</v>
      </c>
      <c r="C481" s="158"/>
      <c r="D481" s="158"/>
      <c r="E481" s="197" t="s">
        <v>552</v>
      </c>
      <c r="F481" s="275"/>
      <c r="G481" s="276"/>
      <c r="H481" s="277"/>
      <c r="I481" s="192"/>
      <c r="J481" s="117"/>
      <c r="K481" s="127"/>
      <c r="L481" s="117"/>
      <c r="M481" s="127"/>
      <c r="N481" s="158"/>
      <c r="O481" s="127"/>
      <c r="P481" s="191" t="s">
        <v>79</v>
      </c>
      <c r="Q481" s="191"/>
      <c r="R481" s="191" t="s">
        <v>79</v>
      </c>
      <c r="S481" s="191"/>
      <c r="T481" s="191"/>
      <c r="U481" s="191"/>
      <c r="V481" s="191" t="s">
        <v>79</v>
      </c>
      <c r="W481" s="158"/>
      <c r="X481" s="189" t="str">
        <f>IF($B481&lt;=入力シート!$F$22,""&amp;中間シート!X349,"")</f>
        <v/>
      </c>
      <c r="AQ481" s="177">
        <f>中間シート!E349</f>
        <v>0</v>
      </c>
      <c r="AR481" s="148">
        <f>IF(F481="含まれている",1,IF(F481="含まれていない",2,0))</f>
        <v>0</v>
      </c>
      <c r="AS481" s="148" t="str">
        <f>IF(中間シート!N349=1,1,中間シート!P255)</f>
        <v/>
      </c>
    </row>
    <row r="482" spans="2:45" x14ac:dyDescent="0.2">
      <c r="C482" s="158"/>
      <c r="D482" s="158"/>
      <c r="E482" s="153"/>
      <c r="F482" s="127"/>
      <c r="G482" s="127"/>
      <c r="H482" s="127"/>
      <c r="I482" s="127"/>
      <c r="J482" s="127"/>
      <c r="K482" s="127"/>
      <c r="L482" s="127"/>
      <c r="M482" s="191"/>
      <c r="N482" s="191"/>
      <c r="O482" s="191"/>
      <c r="P482" s="127" t="s">
        <v>79</v>
      </c>
      <c r="Q482" s="191"/>
      <c r="R482" s="191" t="s">
        <v>79</v>
      </c>
      <c r="S482" s="191"/>
      <c r="T482" s="191"/>
      <c r="U482" s="191"/>
      <c r="V482" s="191" t="s">
        <v>79</v>
      </c>
      <c r="W482" s="158"/>
      <c r="X482" s="189" t="s">
        <v>79</v>
      </c>
      <c r="AQ482" s="148" t="s">
        <v>79</v>
      </c>
      <c r="AR482" s="148"/>
      <c r="AS482" s="148"/>
    </row>
    <row r="483" spans="2:45" ht="15.6" thickBot="1" x14ac:dyDescent="0.25">
      <c r="C483" s="200"/>
      <c r="D483" s="200"/>
      <c r="E483" s="201"/>
      <c r="F483" s="200"/>
      <c r="G483" s="200"/>
      <c r="H483" s="200"/>
      <c r="I483" s="202"/>
      <c r="J483" s="200"/>
      <c r="K483" s="200"/>
      <c r="L483" s="200"/>
      <c r="M483" s="200"/>
      <c r="N483" s="200"/>
      <c r="O483" s="200"/>
      <c r="P483" s="200" t="s">
        <v>79</v>
      </c>
      <c r="Q483" s="200"/>
      <c r="R483" s="200" t="s">
        <v>79</v>
      </c>
      <c r="S483" s="200"/>
      <c r="T483" s="200"/>
      <c r="U483" s="200"/>
      <c r="V483" s="200" t="s">
        <v>79</v>
      </c>
      <c r="W483" s="200"/>
      <c r="X483" s="189" t="s">
        <v>79</v>
      </c>
      <c r="AQ483" s="148" t="s">
        <v>79</v>
      </c>
      <c r="AR483" s="148"/>
      <c r="AS483" s="148"/>
    </row>
    <row r="484" spans="2:45" ht="18" customHeight="1" thickBot="1" x14ac:dyDescent="0.25">
      <c r="B484" s="145">
        <v>24</v>
      </c>
      <c r="C484" s="200"/>
      <c r="D484" s="204" t="s">
        <v>70</v>
      </c>
      <c r="E484" s="201" t="s">
        <v>550</v>
      </c>
      <c r="F484" s="275"/>
      <c r="G484" s="276"/>
      <c r="H484" s="277"/>
      <c r="I484" s="202"/>
      <c r="J484" s="117"/>
      <c r="K484" s="205"/>
      <c r="L484" s="117"/>
      <c r="M484" s="205"/>
      <c r="N484" s="203" t="s">
        <v>79</v>
      </c>
      <c r="O484" s="205"/>
      <c r="P484" s="198">
        <f>中間シート!D396</f>
        <v>0</v>
      </c>
      <c r="Q484" s="203"/>
      <c r="R484" s="198">
        <f>中間シート!G396</f>
        <v>0</v>
      </c>
      <c r="S484" s="203"/>
      <c r="T484" s="206" t="s">
        <v>40</v>
      </c>
      <c r="U484" s="203"/>
      <c r="V484" s="198">
        <f>中間シート!H396</f>
        <v>0</v>
      </c>
      <c r="W484" s="200"/>
      <c r="X484" s="189" t="str">
        <f>IF($B484&lt;=入力シート!$F$22,""&amp;中間シート!X350,"")</f>
        <v/>
      </c>
      <c r="AQ484" s="177">
        <f>中間シート!E350</f>
        <v>0</v>
      </c>
      <c r="AR484" s="148">
        <f>IF(F484="含まれている",1,IF(F484="含まれていない",2,0))</f>
        <v>0</v>
      </c>
      <c r="AS484" s="148" t="str">
        <f>IF(中間シート!N350=1,1,中間シート!P256)</f>
        <v/>
      </c>
    </row>
    <row r="485" spans="2:45" ht="5.0999999999999996" customHeight="1" thickBot="1" x14ac:dyDescent="0.25">
      <c r="C485" s="200"/>
      <c r="D485" s="200"/>
      <c r="E485" s="201"/>
      <c r="F485" s="203"/>
      <c r="G485" s="203"/>
      <c r="H485" s="203"/>
      <c r="I485" s="202"/>
      <c r="J485" s="205"/>
      <c r="K485" s="205"/>
      <c r="L485" s="205"/>
      <c r="M485" s="205"/>
      <c r="N485" s="203" t="s">
        <v>79</v>
      </c>
      <c r="O485" s="205"/>
      <c r="P485" s="203" t="s">
        <v>79</v>
      </c>
      <c r="Q485" s="203"/>
      <c r="R485" s="203" t="s">
        <v>79</v>
      </c>
      <c r="S485" s="203"/>
      <c r="T485" s="203"/>
      <c r="U485" s="203"/>
      <c r="V485" s="203" t="s">
        <v>79</v>
      </c>
      <c r="W485" s="200"/>
      <c r="X485" s="189" t="s">
        <v>79</v>
      </c>
      <c r="AQ485" s="148" t="s">
        <v>79</v>
      </c>
      <c r="AR485" s="148"/>
      <c r="AS485" s="148"/>
    </row>
    <row r="486" spans="2:45" ht="18" customHeight="1" thickBot="1" x14ac:dyDescent="0.25">
      <c r="B486" s="145">
        <v>24</v>
      </c>
      <c r="C486" s="200"/>
      <c r="D486" s="200"/>
      <c r="E486" s="201" t="s">
        <v>551</v>
      </c>
      <c r="F486" s="275"/>
      <c r="G486" s="276"/>
      <c r="H486" s="277"/>
      <c r="I486" s="202"/>
      <c r="J486" s="117"/>
      <c r="K486" s="205"/>
      <c r="L486" s="117"/>
      <c r="M486" s="205"/>
      <c r="N486" s="203" t="s">
        <v>79</v>
      </c>
      <c r="O486" s="205"/>
      <c r="P486" s="203" t="s">
        <v>79</v>
      </c>
      <c r="Q486" s="203"/>
      <c r="R486" s="203" t="s">
        <v>79</v>
      </c>
      <c r="S486" s="203"/>
      <c r="T486" s="203"/>
      <c r="U486" s="203"/>
      <c r="V486" s="203" t="s">
        <v>79</v>
      </c>
      <c r="W486" s="200"/>
      <c r="X486" s="189" t="str">
        <f>IF($B486&lt;=入力シート!$F$22,""&amp;中間シート!X351,"")</f>
        <v/>
      </c>
      <c r="AQ486" s="177">
        <f>中間シート!E351</f>
        <v>0</v>
      </c>
      <c r="AR486" s="148">
        <f>IF(F486="含まれている",1,IF(F486="含まれていない",2,0))</f>
        <v>0</v>
      </c>
      <c r="AS486" s="148" t="str">
        <f>IF(中間シート!N351=1,1,中間シート!P257)</f>
        <v/>
      </c>
    </row>
    <row r="487" spans="2:45" ht="5.0999999999999996" customHeight="1" thickBot="1" x14ac:dyDescent="0.25">
      <c r="C487" s="200"/>
      <c r="D487" s="200"/>
      <c r="E487" s="201"/>
      <c r="F487" s="203"/>
      <c r="G487" s="203"/>
      <c r="H487" s="203"/>
      <c r="I487" s="202"/>
      <c r="J487" s="205"/>
      <c r="K487" s="205"/>
      <c r="L487" s="205"/>
      <c r="M487" s="205"/>
      <c r="N487" s="203" t="s">
        <v>79</v>
      </c>
      <c r="O487" s="205"/>
      <c r="P487" s="203" t="s">
        <v>79</v>
      </c>
      <c r="Q487" s="203"/>
      <c r="R487" s="203" t="s">
        <v>79</v>
      </c>
      <c r="S487" s="203"/>
      <c r="T487" s="203"/>
      <c r="U487" s="203"/>
      <c r="V487" s="203" t="s">
        <v>79</v>
      </c>
      <c r="W487" s="200"/>
      <c r="X487" s="189" t="s">
        <v>79</v>
      </c>
      <c r="AQ487" s="177" t="s">
        <v>79</v>
      </c>
      <c r="AR487" s="148"/>
      <c r="AS487" s="148"/>
    </row>
    <row r="488" spans="2:45" ht="18" customHeight="1" thickBot="1" x14ac:dyDescent="0.25">
      <c r="B488" s="145">
        <v>24</v>
      </c>
      <c r="C488" s="200"/>
      <c r="D488" s="200"/>
      <c r="E488" s="201" t="s">
        <v>552</v>
      </c>
      <c r="F488" s="275"/>
      <c r="G488" s="276"/>
      <c r="H488" s="277"/>
      <c r="I488" s="202"/>
      <c r="J488" s="117"/>
      <c r="K488" s="205"/>
      <c r="L488" s="117"/>
      <c r="M488" s="205"/>
      <c r="N488" s="203" t="s">
        <v>79</v>
      </c>
      <c r="O488" s="205"/>
      <c r="P488" s="203" t="s">
        <v>79</v>
      </c>
      <c r="Q488" s="203"/>
      <c r="R488" s="203" t="s">
        <v>79</v>
      </c>
      <c r="S488" s="203"/>
      <c r="T488" s="203"/>
      <c r="U488" s="203"/>
      <c r="V488" s="203" t="s">
        <v>79</v>
      </c>
      <c r="W488" s="200"/>
      <c r="X488" s="189" t="str">
        <f>IF($B488&lt;=入力シート!$F$22,""&amp;中間シート!X352,"")</f>
        <v/>
      </c>
      <c r="AQ488" s="177">
        <f>中間シート!E352</f>
        <v>0</v>
      </c>
      <c r="AR488" s="148">
        <f>IF(F488="含まれている",1,IF(F488="含まれていない",2,0))</f>
        <v>0</v>
      </c>
      <c r="AS488" s="148" t="str">
        <f>IF(中間シート!N352=1,1,中間シート!P258)</f>
        <v/>
      </c>
    </row>
    <row r="489" spans="2:45" x14ac:dyDescent="0.2">
      <c r="C489" s="200"/>
      <c r="D489" s="200"/>
      <c r="E489" s="201"/>
      <c r="F489" s="205"/>
      <c r="G489" s="205"/>
      <c r="H489" s="205"/>
      <c r="I489" s="205"/>
      <c r="J489" s="205"/>
      <c r="K489" s="205"/>
      <c r="L489" s="205"/>
      <c r="M489" s="203"/>
      <c r="N489" s="203"/>
      <c r="O489" s="203"/>
      <c r="P489" s="205" t="s">
        <v>79</v>
      </c>
      <c r="Q489" s="203"/>
      <c r="R489" s="203" t="s">
        <v>79</v>
      </c>
      <c r="S489" s="203"/>
      <c r="T489" s="203"/>
      <c r="U489" s="203"/>
      <c r="V489" s="203" t="s">
        <v>79</v>
      </c>
      <c r="W489" s="200"/>
      <c r="X489" s="189" t="s">
        <v>79</v>
      </c>
      <c r="AQ489" s="148" t="s">
        <v>79</v>
      </c>
      <c r="AR489" s="148"/>
      <c r="AS489" s="148"/>
    </row>
    <row r="490" spans="2:45" ht="15.6" thickBot="1" x14ac:dyDescent="0.25">
      <c r="C490" s="158"/>
      <c r="D490" s="158"/>
      <c r="E490" s="197"/>
      <c r="F490" s="191"/>
      <c r="G490" s="191"/>
      <c r="H490" s="191"/>
      <c r="I490" s="192"/>
      <c r="J490" s="191"/>
      <c r="K490" s="191"/>
      <c r="L490" s="191"/>
      <c r="M490" s="191"/>
      <c r="N490" s="191"/>
      <c r="O490" s="191"/>
      <c r="P490" s="191" t="s">
        <v>79</v>
      </c>
      <c r="Q490" s="191"/>
      <c r="R490" s="191" t="s">
        <v>79</v>
      </c>
      <c r="S490" s="191"/>
      <c r="T490" s="191"/>
      <c r="U490" s="191"/>
      <c r="V490" s="191" t="s">
        <v>79</v>
      </c>
      <c r="W490" s="158"/>
      <c r="X490" s="189" t="s">
        <v>79</v>
      </c>
      <c r="AQ490" s="148" t="s">
        <v>79</v>
      </c>
      <c r="AR490" s="148"/>
      <c r="AS490" s="148"/>
    </row>
    <row r="491" spans="2:45" ht="18" customHeight="1" thickBot="1" x14ac:dyDescent="0.25">
      <c r="B491" s="145">
        <v>25</v>
      </c>
      <c r="C491" s="158"/>
      <c r="D491" s="152" t="s">
        <v>71</v>
      </c>
      <c r="E491" s="197" t="s">
        <v>550</v>
      </c>
      <c r="F491" s="275"/>
      <c r="G491" s="276"/>
      <c r="H491" s="277"/>
      <c r="I491" s="192"/>
      <c r="J491" s="117"/>
      <c r="K491" s="127"/>
      <c r="L491" s="117"/>
      <c r="M491" s="127"/>
      <c r="N491" s="158"/>
      <c r="O491" s="127"/>
      <c r="P491" s="198">
        <f>中間シート!D397</f>
        <v>0</v>
      </c>
      <c r="Q491" s="191"/>
      <c r="R491" s="198">
        <f>中間シート!G397</f>
        <v>0</v>
      </c>
      <c r="S491" s="191"/>
      <c r="T491" s="199" t="s">
        <v>40</v>
      </c>
      <c r="U491" s="191"/>
      <c r="V491" s="198">
        <f>中間シート!H397</f>
        <v>0</v>
      </c>
      <c r="W491" s="158"/>
      <c r="X491" s="189" t="str">
        <f>IF($B491&lt;=入力シート!$F$22,""&amp;中間シート!X353,"")</f>
        <v/>
      </c>
      <c r="AQ491" s="177">
        <f>中間シート!E353</f>
        <v>0</v>
      </c>
      <c r="AR491" s="148">
        <f>IF(F491="含まれている",1,IF(F491="含まれていない",2,0))</f>
        <v>0</v>
      </c>
      <c r="AS491" s="148" t="str">
        <f>IF(中間シート!N353=1,1,中間シート!P259)</f>
        <v/>
      </c>
    </row>
    <row r="492" spans="2:45" ht="5.0999999999999996" customHeight="1" thickBot="1" x14ac:dyDescent="0.25">
      <c r="C492" s="158"/>
      <c r="D492" s="158"/>
      <c r="E492" s="197"/>
      <c r="F492" s="191"/>
      <c r="G492" s="191"/>
      <c r="H492" s="191"/>
      <c r="I492" s="192"/>
      <c r="J492" s="127"/>
      <c r="K492" s="127"/>
      <c r="L492" s="127"/>
      <c r="M492" s="127"/>
      <c r="N492" s="158"/>
      <c r="O492" s="127"/>
      <c r="P492" s="191" t="s">
        <v>79</v>
      </c>
      <c r="Q492" s="191"/>
      <c r="R492" s="191" t="s">
        <v>79</v>
      </c>
      <c r="S492" s="191"/>
      <c r="T492" s="191"/>
      <c r="U492" s="191"/>
      <c r="V492" s="191" t="s">
        <v>79</v>
      </c>
      <c r="W492" s="158"/>
      <c r="X492" s="189" t="s">
        <v>79</v>
      </c>
      <c r="AQ492" s="148" t="s">
        <v>79</v>
      </c>
      <c r="AR492" s="148"/>
      <c r="AS492" s="148"/>
    </row>
    <row r="493" spans="2:45" ht="18" customHeight="1" thickBot="1" x14ac:dyDescent="0.25">
      <c r="B493" s="145">
        <v>25</v>
      </c>
      <c r="C493" s="158"/>
      <c r="D493" s="158"/>
      <c r="E493" s="197" t="s">
        <v>551</v>
      </c>
      <c r="F493" s="275"/>
      <c r="G493" s="276"/>
      <c r="H493" s="277"/>
      <c r="I493" s="192"/>
      <c r="J493" s="117"/>
      <c r="K493" s="127"/>
      <c r="L493" s="117"/>
      <c r="M493" s="127"/>
      <c r="N493" s="158"/>
      <c r="O493" s="127"/>
      <c r="P493" s="191" t="s">
        <v>79</v>
      </c>
      <c r="Q493" s="191"/>
      <c r="R493" s="191" t="s">
        <v>79</v>
      </c>
      <c r="S493" s="191"/>
      <c r="T493" s="191"/>
      <c r="U493" s="191"/>
      <c r="V493" s="191" t="s">
        <v>79</v>
      </c>
      <c r="W493" s="158"/>
      <c r="X493" s="189" t="str">
        <f>IF($B493&lt;=入力シート!$F$22,""&amp;中間シート!X354,"")</f>
        <v/>
      </c>
      <c r="AQ493" s="177">
        <f>中間シート!E354</f>
        <v>0</v>
      </c>
      <c r="AR493" s="148">
        <f>IF(F493="含まれている",1,IF(F493="含まれていない",2,0))</f>
        <v>0</v>
      </c>
      <c r="AS493" s="148" t="str">
        <f>IF(中間シート!N354=1,1,中間シート!P260)</f>
        <v/>
      </c>
    </row>
    <row r="494" spans="2:45" ht="5.0999999999999996" customHeight="1" thickBot="1" x14ac:dyDescent="0.25">
      <c r="C494" s="158"/>
      <c r="D494" s="158"/>
      <c r="E494" s="197"/>
      <c r="F494" s="191"/>
      <c r="G494" s="191"/>
      <c r="H494" s="191"/>
      <c r="I494" s="192"/>
      <c r="J494" s="127"/>
      <c r="K494" s="127"/>
      <c r="L494" s="127"/>
      <c r="M494" s="127"/>
      <c r="N494" s="158"/>
      <c r="O494" s="127"/>
      <c r="P494" s="191" t="s">
        <v>79</v>
      </c>
      <c r="Q494" s="191"/>
      <c r="R494" s="191" t="s">
        <v>79</v>
      </c>
      <c r="S494" s="191"/>
      <c r="T494" s="191"/>
      <c r="U494" s="191"/>
      <c r="V494" s="191" t="s">
        <v>79</v>
      </c>
      <c r="W494" s="158"/>
      <c r="X494" s="189" t="s">
        <v>79</v>
      </c>
      <c r="AQ494" s="177" t="s">
        <v>79</v>
      </c>
      <c r="AR494" s="148"/>
      <c r="AS494" s="148"/>
    </row>
    <row r="495" spans="2:45" ht="18" customHeight="1" thickBot="1" x14ac:dyDescent="0.25">
      <c r="B495" s="145">
        <v>25</v>
      </c>
      <c r="C495" s="158"/>
      <c r="D495" s="158"/>
      <c r="E495" s="197" t="s">
        <v>552</v>
      </c>
      <c r="F495" s="275"/>
      <c r="G495" s="276"/>
      <c r="H495" s="277"/>
      <c r="I495" s="192"/>
      <c r="J495" s="117"/>
      <c r="K495" s="127"/>
      <c r="L495" s="117"/>
      <c r="M495" s="127"/>
      <c r="N495" s="158"/>
      <c r="O495" s="127"/>
      <c r="P495" s="191" t="s">
        <v>79</v>
      </c>
      <c r="Q495" s="191"/>
      <c r="R495" s="191" t="s">
        <v>79</v>
      </c>
      <c r="S495" s="191"/>
      <c r="T495" s="191"/>
      <c r="U495" s="191"/>
      <c r="V495" s="191" t="s">
        <v>79</v>
      </c>
      <c r="W495" s="158"/>
      <c r="X495" s="189" t="str">
        <f>IF($B495&lt;=入力シート!$F$22,""&amp;中間シート!X355,"")</f>
        <v/>
      </c>
      <c r="AQ495" s="177">
        <f>中間シート!E355</f>
        <v>0</v>
      </c>
      <c r="AR495" s="148">
        <f>IF(F495="含まれている",1,IF(F495="含まれていない",2,0))</f>
        <v>0</v>
      </c>
      <c r="AS495" s="148" t="str">
        <f>IF(中間シート!N355=1,1,中間シート!P261)</f>
        <v/>
      </c>
    </row>
    <row r="496" spans="2:45" x14ac:dyDescent="0.2">
      <c r="C496" s="158"/>
      <c r="D496" s="158"/>
      <c r="E496" s="153"/>
      <c r="F496" s="127"/>
      <c r="G496" s="127"/>
      <c r="H496" s="127"/>
      <c r="I496" s="127"/>
      <c r="J496" s="127"/>
      <c r="K496" s="127"/>
      <c r="L496" s="127"/>
      <c r="M496" s="191"/>
      <c r="N496" s="191"/>
      <c r="O496" s="191"/>
      <c r="P496" s="127" t="s">
        <v>79</v>
      </c>
      <c r="Q496" s="191"/>
      <c r="R496" s="191" t="s">
        <v>79</v>
      </c>
      <c r="S496" s="191"/>
      <c r="T496" s="191"/>
      <c r="U496" s="191"/>
      <c r="V496" s="191" t="s">
        <v>79</v>
      </c>
      <c r="W496" s="158"/>
      <c r="X496" s="189" t="s">
        <v>79</v>
      </c>
      <c r="AQ496" s="148" t="s">
        <v>79</v>
      </c>
      <c r="AR496" s="148"/>
      <c r="AS496" s="148"/>
    </row>
    <row r="497" spans="2:45" ht="15.6" thickBot="1" x14ac:dyDescent="0.25">
      <c r="C497" s="200"/>
      <c r="D497" s="200"/>
      <c r="E497" s="201"/>
      <c r="F497" s="200"/>
      <c r="G497" s="200"/>
      <c r="H497" s="200"/>
      <c r="I497" s="202"/>
      <c r="J497" s="200"/>
      <c r="K497" s="200"/>
      <c r="L497" s="200"/>
      <c r="M497" s="200"/>
      <c r="N497" s="200"/>
      <c r="O497" s="200"/>
      <c r="P497" s="200" t="s">
        <v>79</v>
      </c>
      <c r="Q497" s="200"/>
      <c r="R497" s="200" t="s">
        <v>79</v>
      </c>
      <c r="S497" s="200"/>
      <c r="T497" s="200"/>
      <c r="U497" s="200"/>
      <c r="V497" s="200" t="s">
        <v>79</v>
      </c>
      <c r="W497" s="200"/>
      <c r="X497" s="189" t="s">
        <v>79</v>
      </c>
      <c r="AQ497" s="148" t="s">
        <v>79</v>
      </c>
      <c r="AR497" s="148"/>
      <c r="AS497" s="148"/>
    </row>
    <row r="498" spans="2:45" ht="18" customHeight="1" thickBot="1" x14ac:dyDescent="0.25">
      <c r="B498" s="145">
        <v>26</v>
      </c>
      <c r="C498" s="200"/>
      <c r="D498" s="204" t="s">
        <v>72</v>
      </c>
      <c r="E498" s="201" t="s">
        <v>550</v>
      </c>
      <c r="F498" s="275"/>
      <c r="G498" s="276"/>
      <c r="H498" s="277"/>
      <c r="I498" s="202"/>
      <c r="J498" s="117"/>
      <c r="K498" s="205"/>
      <c r="L498" s="117"/>
      <c r="M498" s="205"/>
      <c r="N498" s="203" t="s">
        <v>79</v>
      </c>
      <c r="O498" s="205"/>
      <c r="P498" s="198">
        <f>中間シート!D398</f>
        <v>0</v>
      </c>
      <c r="Q498" s="203"/>
      <c r="R498" s="198">
        <f>中間シート!G398</f>
        <v>0</v>
      </c>
      <c r="S498" s="203"/>
      <c r="T498" s="206" t="s">
        <v>40</v>
      </c>
      <c r="U498" s="203"/>
      <c r="V498" s="198">
        <f>中間シート!H398</f>
        <v>0</v>
      </c>
      <c r="W498" s="200"/>
      <c r="X498" s="189" t="str">
        <f>IF($B498&lt;=入力シート!$F$22,""&amp;中間シート!X356,"")</f>
        <v/>
      </c>
      <c r="AQ498" s="177">
        <f>中間シート!E356</f>
        <v>0</v>
      </c>
      <c r="AR498" s="148">
        <f>IF(F498="含まれている",1,IF(F498="含まれていない",2,0))</f>
        <v>0</v>
      </c>
      <c r="AS498" s="148" t="str">
        <f>IF(中間シート!N356=1,1,中間シート!P262)</f>
        <v/>
      </c>
    </row>
    <row r="499" spans="2:45" ht="5.0999999999999996" customHeight="1" thickBot="1" x14ac:dyDescent="0.25">
      <c r="C499" s="200"/>
      <c r="D499" s="200"/>
      <c r="E499" s="201"/>
      <c r="F499" s="203"/>
      <c r="G499" s="203"/>
      <c r="H499" s="203"/>
      <c r="I499" s="202"/>
      <c r="J499" s="205"/>
      <c r="K499" s="205"/>
      <c r="L499" s="205"/>
      <c r="M499" s="205"/>
      <c r="N499" s="203" t="s">
        <v>79</v>
      </c>
      <c r="O499" s="205"/>
      <c r="P499" s="203" t="s">
        <v>79</v>
      </c>
      <c r="Q499" s="203"/>
      <c r="R499" s="203" t="s">
        <v>79</v>
      </c>
      <c r="S499" s="203"/>
      <c r="T499" s="203"/>
      <c r="U499" s="203"/>
      <c r="V499" s="203" t="s">
        <v>79</v>
      </c>
      <c r="W499" s="200"/>
      <c r="X499" s="189" t="s">
        <v>79</v>
      </c>
      <c r="AQ499" s="148" t="s">
        <v>79</v>
      </c>
      <c r="AR499" s="148"/>
      <c r="AS499" s="148"/>
    </row>
    <row r="500" spans="2:45" ht="18" customHeight="1" thickBot="1" x14ac:dyDescent="0.25">
      <c r="B500" s="145">
        <v>26</v>
      </c>
      <c r="C500" s="200"/>
      <c r="D500" s="200"/>
      <c r="E500" s="201" t="s">
        <v>551</v>
      </c>
      <c r="F500" s="275"/>
      <c r="G500" s="276"/>
      <c r="H500" s="277"/>
      <c r="I500" s="202"/>
      <c r="J500" s="117"/>
      <c r="K500" s="205"/>
      <c r="L500" s="117"/>
      <c r="M500" s="205"/>
      <c r="N500" s="203" t="s">
        <v>79</v>
      </c>
      <c r="O500" s="205"/>
      <c r="P500" s="203" t="s">
        <v>79</v>
      </c>
      <c r="Q500" s="203"/>
      <c r="R500" s="203" t="s">
        <v>79</v>
      </c>
      <c r="S500" s="203"/>
      <c r="T500" s="203"/>
      <c r="U500" s="203"/>
      <c r="V500" s="203" t="s">
        <v>79</v>
      </c>
      <c r="W500" s="200"/>
      <c r="X500" s="189" t="str">
        <f>IF($B500&lt;=入力シート!$F$22,""&amp;中間シート!X357,"")</f>
        <v/>
      </c>
      <c r="AQ500" s="177">
        <f>中間シート!E357</f>
        <v>0</v>
      </c>
      <c r="AR500" s="148">
        <f>IF(F500="含まれている",1,IF(F500="含まれていない",2,0))</f>
        <v>0</v>
      </c>
      <c r="AS500" s="148" t="str">
        <f>IF(中間シート!N357=1,1,中間シート!P263)</f>
        <v/>
      </c>
    </row>
    <row r="501" spans="2:45" ht="5.0999999999999996" customHeight="1" thickBot="1" x14ac:dyDescent="0.25">
      <c r="C501" s="200"/>
      <c r="D501" s="200"/>
      <c r="E501" s="201"/>
      <c r="F501" s="203"/>
      <c r="G501" s="203"/>
      <c r="H501" s="203"/>
      <c r="I501" s="202"/>
      <c r="J501" s="205"/>
      <c r="K501" s="205"/>
      <c r="L501" s="205"/>
      <c r="M501" s="205"/>
      <c r="N501" s="203" t="s">
        <v>79</v>
      </c>
      <c r="O501" s="205"/>
      <c r="P501" s="203" t="s">
        <v>79</v>
      </c>
      <c r="Q501" s="203"/>
      <c r="R501" s="203" t="s">
        <v>79</v>
      </c>
      <c r="S501" s="203"/>
      <c r="T501" s="203"/>
      <c r="U501" s="203"/>
      <c r="V501" s="203" t="s">
        <v>79</v>
      </c>
      <c r="W501" s="200"/>
      <c r="X501" s="189" t="s">
        <v>79</v>
      </c>
      <c r="AQ501" s="177" t="s">
        <v>79</v>
      </c>
      <c r="AR501" s="148"/>
      <c r="AS501" s="148"/>
    </row>
    <row r="502" spans="2:45" ht="18" customHeight="1" thickBot="1" x14ac:dyDescent="0.25">
      <c r="B502" s="145">
        <v>26</v>
      </c>
      <c r="C502" s="200"/>
      <c r="D502" s="200"/>
      <c r="E502" s="201" t="s">
        <v>552</v>
      </c>
      <c r="F502" s="275"/>
      <c r="G502" s="276"/>
      <c r="H502" s="277"/>
      <c r="I502" s="202"/>
      <c r="J502" s="117"/>
      <c r="K502" s="205"/>
      <c r="L502" s="117"/>
      <c r="M502" s="205"/>
      <c r="N502" s="203" t="s">
        <v>79</v>
      </c>
      <c r="O502" s="205"/>
      <c r="P502" s="203" t="s">
        <v>79</v>
      </c>
      <c r="Q502" s="203"/>
      <c r="R502" s="203" t="s">
        <v>79</v>
      </c>
      <c r="S502" s="203"/>
      <c r="T502" s="203"/>
      <c r="U502" s="203"/>
      <c r="V502" s="203" t="s">
        <v>79</v>
      </c>
      <c r="W502" s="200"/>
      <c r="X502" s="189" t="str">
        <f>IF($B502&lt;=入力シート!$F$22,""&amp;中間シート!X358,"")</f>
        <v/>
      </c>
      <c r="AQ502" s="177">
        <f>中間シート!E358</f>
        <v>0</v>
      </c>
      <c r="AR502" s="148">
        <f>IF(F502="含まれている",1,IF(F502="含まれていない",2,0))</f>
        <v>0</v>
      </c>
      <c r="AS502" s="148" t="str">
        <f>IF(中間シート!N358=1,1,中間シート!P264)</f>
        <v/>
      </c>
    </row>
    <row r="503" spans="2:45" x14ac:dyDescent="0.2">
      <c r="C503" s="200"/>
      <c r="D503" s="200"/>
      <c r="E503" s="201"/>
      <c r="F503" s="205"/>
      <c r="G503" s="205"/>
      <c r="H503" s="205"/>
      <c r="I503" s="205"/>
      <c r="J503" s="205"/>
      <c r="K503" s="205"/>
      <c r="L503" s="205"/>
      <c r="M503" s="203"/>
      <c r="N503" s="203"/>
      <c r="O503" s="203"/>
      <c r="P503" s="205" t="s">
        <v>79</v>
      </c>
      <c r="Q503" s="203"/>
      <c r="R503" s="203" t="s">
        <v>79</v>
      </c>
      <c r="S503" s="203"/>
      <c r="T503" s="203"/>
      <c r="U503" s="203"/>
      <c r="V503" s="203" t="s">
        <v>79</v>
      </c>
      <c r="W503" s="200"/>
      <c r="X503" s="189" t="s">
        <v>79</v>
      </c>
      <c r="AQ503" s="148" t="s">
        <v>79</v>
      </c>
      <c r="AR503" s="148"/>
      <c r="AS503" s="148"/>
    </row>
    <row r="504" spans="2:45" ht="15.6" thickBot="1" x14ac:dyDescent="0.25">
      <c r="C504" s="158"/>
      <c r="D504" s="158"/>
      <c r="E504" s="197"/>
      <c r="F504" s="191"/>
      <c r="G504" s="191"/>
      <c r="H504" s="191"/>
      <c r="I504" s="192"/>
      <c r="J504" s="191"/>
      <c r="K504" s="191"/>
      <c r="L504" s="191"/>
      <c r="M504" s="191"/>
      <c r="N504" s="191"/>
      <c r="O504" s="191"/>
      <c r="P504" s="191" t="s">
        <v>79</v>
      </c>
      <c r="Q504" s="191"/>
      <c r="R504" s="191" t="s">
        <v>79</v>
      </c>
      <c r="S504" s="191"/>
      <c r="T504" s="191"/>
      <c r="U504" s="191"/>
      <c r="V504" s="191" t="s">
        <v>79</v>
      </c>
      <c r="W504" s="158"/>
      <c r="X504" s="189" t="s">
        <v>79</v>
      </c>
      <c r="AQ504" s="148" t="s">
        <v>79</v>
      </c>
      <c r="AR504" s="148"/>
      <c r="AS504" s="148"/>
    </row>
    <row r="505" spans="2:45" ht="18" customHeight="1" thickBot="1" x14ac:dyDescent="0.25">
      <c r="B505" s="145">
        <v>27</v>
      </c>
      <c r="C505" s="158"/>
      <c r="D505" s="152" t="s">
        <v>73</v>
      </c>
      <c r="E505" s="197" t="s">
        <v>550</v>
      </c>
      <c r="F505" s="275"/>
      <c r="G505" s="276"/>
      <c r="H505" s="277"/>
      <c r="I505" s="192"/>
      <c r="J505" s="117"/>
      <c r="K505" s="127"/>
      <c r="L505" s="117"/>
      <c r="M505" s="127"/>
      <c r="N505" s="158"/>
      <c r="O505" s="127"/>
      <c r="P505" s="198">
        <f>中間シート!D399</f>
        <v>0</v>
      </c>
      <c r="Q505" s="191"/>
      <c r="R505" s="198">
        <f>中間シート!G399</f>
        <v>0</v>
      </c>
      <c r="S505" s="191"/>
      <c r="T505" s="199" t="s">
        <v>40</v>
      </c>
      <c r="U505" s="191"/>
      <c r="V505" s="198">
        <f>中間シート!H399</f>
        <v>0</v>
      </c>
      <c r="W505" s="158"/>
      <c r="X505" s="189" t="str">
        <f>IF($B505&lt;=入力シート!$F$22,""&amp;中間シート!X359,"")</f>
        <v/>
      </c>
      <c r="AQ505" s="177">
        <f>中間シート!E359</f>
        <v>0</v>
      </c>
      <c r="AR505" s="148">
        <f>IF(F505="含まれている",1,IF(F505="含まれていない",2,0))</f>
        <v>0</v>
      </c>
      <c r="AS505" s="148" t="str">
        <f>IF(中間シート!N359=1,1,中間シート!P265)</f>
        <v/>
      </c>
    </row>
    <row r="506" spans="2:45" ht="5.0999999999999996" customHeight="1" thickBot="1" x14ac:dyDescent="0.25">
      <c r="C506" s="158"/>
      <c r="D506" s="158"/>
      <c r="E506" s="197"/>
      <c r="F506" s="191"/>
      <c r="G506" s="191"/>
      <c r="H506" s="191"/>
      <c r="I506" s="192"/>
      <c r="J506" s="127"/>
      <c r="K506" s="127"/>
      <c r="L506" s="127"/>
      <c r="M506" s="127"/>
      <c r="N506" s="158"/>
      <c r="O506" s="127"/>
      <c r="P506" s="191" t="s">
        <v>79</v>
      </c>
      <c r="Q506" s="191"/>
      <c r="R506" s="191" t="s">
        <v>79</v>
      </c>
      <c r="S506" s="191"/>
      <c r="T506" s="191"/>
      <c r="U506" s="191"/>
      <c r="V506" s="191" t="s">
        <v>79</v>
      </c>
      <c r="W506" s="158"/>
      <c r="X506" s="189" t="s">
        <v>79</v>
      </c>
      <c r="AQ506" s="148" t="s">
        <v>79</v>
      </c>
      <c r="AR506" s="148"/>
      <c r="AS506" s="148"/>
    </row>
    <row r="507" spans="2:45" ht="18" customHeight="1" thickBot="1" x14ac:dyDescent="0.25">
      <c r="B507" s="145">
        <v>27</v>
      </c>
      <c r="C507" s="158"/>
      <c r="D507" s="158"/>
      <c r="E507" s="197" t="s">
        <v>551</v>
      </c>
      <c r="F507" s="275"/>
      <c r="G507" s="276"/>
      <c r="H507" s="277"/>
      <c r="I507" s="192"/>
      <c r="J507" s="117"/>
      <c r="K507" s="127"/>
      <c r="L507" s="117"/>
      <c r="M507" s="127"/>
      <c r="N507" s="158"/>
      <c r="O507" s="127"/>
      <c r="P507" s="191" t="s">
        <v>79</v>
      </c>
      <c r="Q507" s="191"/>
      <c r="R507" s="191" t="s">
        <v>79</v>
      </c>
      <c r="S507" s="191"/>
      <c r="T507" s="191"/>
      <c r="U507" s="191"/>
      <c r="V507" s="191" t="s">
        <v>79</v>
      </c>
      <c r="W507" s="158"/>
      <c r="X507" s="189" t="str">
        <f>IF($B507&lt;=入力シート!$F$22,""&amp;中間シート!X360,"")</f>
        <v/>
      </c>
      <c r="AQ507" s="177">
        <f>中間シート!E360</f>
        <v>0</v>
      </c>
      <c r="AR507" s="148">
        <f>IF(F507="含まれている",1,IF(F507="含まれていない",2,0))</f>
        <v>0</v>
      </c>
      <c r="AS507" s="148" t="str">
        <f>IF(中間シート!N360=1,1,中間シート!P266)</f>
        <v/>
      </c>
    </row>
    <row r="508" spans="2:45" ht="5.0999999999999996" customHeight="1" thickBot="1" x14ac:dyDescent="0.25">
      <c r="C508" s="158"/>
      <c r="D508" s="158"/>
      <c r="E508" s="197"/>
      <c r="F508" s="191"/>
      <c r="G508" s="191"/>
      <c r="H508" s="191"/>
      <c r="I508" s="192"/>
      <c r="J508" s="127"/>
      <c r="K508" s="127"/>
      <c r="L508" s="127"/>
      <c r="M508" s="127"/>
      <c r="N508" s="158"/>
      <c r="O508" s="127"/>
      <c r="P508" s="191" t="s">
        <v>79</v>
      </c>
      <c r="Q508" s="191"/>
      <c r="R508" s="191" t="s">
        <v>79</v>
      </c>
      <c r="S508" s="191"/>
      <c r="T508" s="191"/>
      <c r="U508" s="191"/>
      <c r="V508" s="191" t="s">
        <v>79</v>
      </c>
      <c r="W508" s="158"/>
      <c r="X508" s="189" t="s">
        <v>79</v>
      </c>
      <c r="AQ508" s="177" t="s">
        <v>79</v>
      </c>
      <c r="AR508" s="148"/>
      <c r="AS508" s="148"/>
    </row>
    <row r="509" spans="2:45" ht="18" customHeight="1" thickBot="1" x14ac:dyDescent="0.25">
      <c r="B509" s="145">
        <v>27</v>
      </c>
      <c r="C509" s="158"/>
      <c r="D509" s="158"/>
      <c r="E509" s="197" t="s">
        <v>552</v>
      </c>
      <c r="F509" s="275"/>
      <c r="G509" s="276"/>
      <c r="H509" s="277"/>
      <c r="I509" s="192"/>
      <c r="J509" s="117"/>
      <c r="K509" s="127"/>
      <c r="L509" s="117"/>
      <c r="M509" s="127"/>
      <c r="N509" s="158"/>
      <c r="O509" s="127"/>
      <c r="P509" s="191" t="s">
        <v>79</v>
      </c>
      <c r="Q509" s="191"/>
      <c r="R509" s="191" t="s">
        <v>79</v>
      </c>
      <c r="S509" s="191"/>
      <c r="T509" s="191"/>
      <c r="U509" s="191"/>
      <c r="V509" s="191" t="s">
        <v>79</v>
      </c>
      <c r="W509" s="158"/>
      <c r="X509" s="189" t="str">
        <f>IF($B509&lt;=入力シート!$F$22,""&amp;中間シート!X361,"")</f>
        <v/>
      </c>
      <c r="AQ509" s="177">
        <f>中間シート!E361</f>
        <v>0</v>
      </c>
      <c r="AR509" s="148">
        <f>IF(F509="含まれている",1,IF(F509="含まれていない",2,0))</f>
        <v>0</v>
      </c>
      <c r="AS509" s="148" t="str">
        <f>IF(中間シート!N361=1,1,中間シート!P267)</f>
        <v/>
      </c>
    </row>
    <row r="510" spans="2:45" x14ac:dyDescent="0.2">
      <c r="C510" s="158"/>
      <c r="D510" s="158"/>
      <c r="E510" s="153"/>
      <c r="F510" s="127"/>
      <c r="G510" s="127"/>
      <c r="H510" s="127"/>
      <c r="I510" s="127"/>
      <c r="J510" s="127"/>
      <c r="K510" s="127"/>
      <c r="L510" s="127"/>
      <c r="M510" s="191"/>
      <c r="N510" s="191"/>
      <c r="O510" s="191"/>
      <c r="P510" s="127" t="s">
        <v>79</v>
      </c>
      <c r="Q510" s="191"/>
      <c r="R510" s="191" t="s">
        <v>79</v>
      </c>
      <c r="S510" s="191"/>
      <c r="T510" s="191"/>
      <c r="U510" s="191"/>
      <c r="V510" s="191" t="s">
        <v>79</v>
      </c>
      <c r="W510" s="158"/>
      <c r="X510" s="189" t="s">
        <v>79</v>
      </c>
      <c r="AQ510" s="148" t="s">
        <v>79</v>
      </c>
      <c r="AR510" s="148"/>
      <c r="AS510" s="148"/>
    </row>
    <row r="511" spans="2:45" ht="15.6" thickBot="1" x14ac:dyDescent="0.25">
      <c r="C511" s="200"/>
      <c r="D511" s="200"/>
      <c r="E511" s="201"/>
      <c r="F511" s="200"/>
      <c r="G511" s="200"/>
      <c r="H511" s="200"/>
      <c r="I511" s="202"/>
      <c r="J511" s="200"/>
      <c r="K511" s="200"/>
      <c r="L511" s="200"/>
      <c r="M511" s="200"/>
      <c r="N511" s="200"/>
      <c r="O511" s="200"/>
      <c r="P511" s="200" t="s">
        <v>79</v>
      </c>
      <c r="Q511" s="200"/>
      <c r="R511" s="200" t="s">
        <v>79</v>
      </c>
      <c r="S511" s="200"/>
      <c r="T511" s="200"/>
      <c r="U511" s="200"/>
      <c r="V511" s="200" t="s">
        <v>79</v>
      </c>
      <c r="W511" s="200"/>
      <c r="X511" s="189" t="s">
        <v>79</v>
      </c>
      <c r="AQ511" s="148" t="s">
        <v>79</v>
      </c>
      <c r="AR511" s="148"/>
      <c r="AS511" s="148"/>
    </row>
    <row r="512" spans="2:45" ht="18" customHeight="1" thickBot="1" x14ac:dyDescent="0.25">
      <c r="B512" s="145">
        <v>28</v>
      </c>
      <c r="C512" s="200"/>
      <c r="D512" s="204" t="s">
        <v>74</v>
      </c>
      <c r="E512" s="201" t="s">
        <v>550</v>
      </c>
      <c r="F512" s="275"/>
      <c r="G512" s="276"/>
      <c r="H512" s="277"/>
      <c r="I512" s="202"/>
      <c r="J512" s="117"/>
      <c r="K512" s="205"/>
      <c r="L512" s="117"/>
      <c r="M512" s="205"/>
      <c r="N512" s="203" t="s">
        <v>79</v>
      </c>
      <c r="O512" s="205"/>
      <c r="P512" s="198">
        <f>中間シート!D400</f>
        <v>0</v>
      </c>
      <c r="Q512" s="203"/>
      <c r="R512" s="198">
        <f>中間シート!G400</f>
        <v>0</v>
      </c>
      <c r="S512" s="203"/>
      <c r="T512" s="206" t="s">
        <v>40</v>
      </c>
      <c r="U512" s="203"/>
      <c r="V512" s="198">
        <f>中間シート!H400</f>
        <v>0</v>
      </c>
      <c r="W512" s="200"/>
      <c r="X512" s="189" t="str">
        <f>IF($B512&lt;=入力シート!$F$22,""&amp;中間シート!X362,"")</f>
        <v/>
      </c>
      <c r="AQ512" s="177">
        <f>中間シート!E362</f>
        <v>0</v>
      </c>
      <c r="AR512" s="148">
        <f>IF(F512="含まれている",1,IF(F512="含まれていない",2,0))</f>
        <v>0</v>
      </c>
      <c r="AS512" s="148" t="str">
        <f>IF(中間シート!N362=1,1,中間シート!P268)</f>
        <v/>
      </c>
    </row>
    <row r="513" spans="2:45" ht="5.0999999999999996" customHeight="1" thickBot="1" x14ac:dyDescent="0.25">
      <c r="C513" s="200"/>
      <c r="D513" s="200"/>
      <c r="E513" s="201"/>
      <c r="F513" s="203"/>
      <c r="G513" s="203"/>
      <c r="H513" s="203"/>
      <c r="I513" s="202"/>
      <c r="J513" s="205"/>
      <c r="K513" s="205"/>
      <c r="L513" s="205"/>
      <c r="M513" s="205"/>
      <c r="N513" s="203" t="s">
        <v>79</v>
      </c>
      <c r="O513" s="205"/>
      <c r="P513" s="203" t="s">
        <v>79</v>
      </c>
      <c r="Q513" s="203"/>
      <c r="R513" s="203" t="s">
        <v>79</v>
      </c>
      <c r="S513" s="203"/>
      <c r="T513" s="203"/>
      <c r="U513" s="203"/>
      <c r="V513" s="203" t="s">
        <v>79</v>
      </c>
      <c r="W513" s="200"/>
      <c r="X513" s="189" t="s">
        <v>79</v>
      </c>
      <c r="AQ513" s="148" t="s">
        <v>79</v>
      </c>
      <c r="AR513" s="148"/>
      <c r="AS513" s="148"/>
    </row>
    <row r="514" spans="2:45" ht="18" customHeight="1" thickBot="1" x14ac:dyDescent="0.25">
      <c r="B514" s="145">
        <v>28</v>
      </c>
      <c r="C514" s="200"/>
      <c r="D514" s="200"/>
      <c r="E514" s="201" t="s">
        <v>551</v>
      </c>
      <c r="F514" s="275"/>
      <c r="G514" s="276"/>
      <c r="H514" s="277"/>
      <c r="I514" s="202"/>
      <c r="J514" s="117"/>
      <c r="K514" s="205"/>
      <c r="L514" s="117"/>
      <c r="M514" s="205"/>
      <c r="N514" s="203" t="s">
        <v>79</v>
      </c>
      <c r="O514" s="205"/>
      <c r="P514" s="203" t="s">
        <v>79</v>
      </c>
      <c r="Q514" s="203"/>
      <c r="R514" s="203" t="s">
        <v>79</v>
      </c>
      <c r="S514" s="203"/>
      <c r="T514" s="203"/>
      <c r="U514" s="203"/>
      <c r="V514" s="203" t="s">
        <v>79</v>
      </c>
      <c r="W514" s="200"/>
      <c r="X514" s="189" t="str">
        <f>IF($B514&lt;=入力シート!$F$22,""&amp;中間シート!X363,"")</f>
        <v/>
      </c>
      <c r="AQ514" s="177">
        <f>中間シート!E363</f>
        <v>0</v>
      </c>
      <c r="AR514" s="148">
        <f>IF(F514="含まれている",1,IF(F514="含まれていない",2,0))</f>
        <v>0</v>
      </c>
      <c r="AS514" s="148" t="str">
        <f>IF(中間シート!N363=1,1,中間シート!P269)</f>
        <v/>
      </c>
    </row>
    <row r="515" spans="2:45" ht="5.0999999999999996" customHeight="1" thickBot="1" x14ac:dyDescent="0.25">
      <c r="C515" s="200"/>
      <c r="D515" s="200"/>
      <c r="E515" s="201"/>
      <c r="F515" s="203"/>
      <c r="G515" s="203"/>
      <c r="H515" s="203"/>
      <c r="I515" s="202"/>
      <c r="J515" s="205"/>
      <c r="K515" s="205"/>
      <c r="L515" s="205"/>
      <c r="M515" s="205"/>
      <c r="N515" s="203" t="s">
        <v>79</v>
      </c>
      <c r="O515" s="205"/>
      <c r="P515" s="203" t="s">
        <v>79</v>
      </c>
      <c r="Q515" s="203"/>
      <c r="R515" s="203" t="s">
        <v>79</v>
      </c>
      <c r="S515" s="203"/>
      <c r="T515" s="203"/>
      <c r="U515" s="203"/>
      <c r="V515" s="203" t="s">
        <v>79</v>
      </c>
      <c r="W515" s="200"/>
      <c r="X515" s="189" t="s">
        <v>79</v>
      </c>
      <c r="AQ515" s="177" t="s">
        <v>79</v>
      </c>
      <c r="AR515" s="148"/>
      <c r="AS515" s="148"/>
    </row>
    <row r="516" spans="2:45" ht="18" customHeight="1" thickBot="1" x14ac:dyDescent="0.25">
      <c r="B516" s="145">
        <v>28</v>
      </c>
      <c r="C516" s="200"/>
      <c r="D516" s="200"/>
      <c r="E516" s="201" t="s">
        <v>552</v>
      </c>
      <c r="F516" s="275"/>
      <c r="G516" s="276"/>
      <c r="H516" s="277"/>
      <c r="I516" s="202"/>
      <c r="J516" s="117"/>
      <c r="K516" s="205"/>
      <c r="L516" s="117"/>
      <c r="M516" s="205"/>
      <c r="N516" s="203" t="s">
        <v>79</v>
      </c>
      <c r="O516" s="205"/>
      <c r="P516" s="203" t="s">
        <v>79</v>
      </c>
      <c r="Q516" s="203"/>
      <c r="R516" s="203" t="s">
        <v>79</v>
      </c>
      <c r="S516" s="203"/>
      <c r="T516" s="203"/>
      <c r="U516" s="203"/>
      <c r="V516" s="203" t="s">
        <v>79</v>
      </c>
      <c r="W516" s="200"/>
      <c r="X516" s="189" t="str">
        <f>IF($B516&lt;=入力シート!$F$22,""&amp;中間シート!X364,"")</f>
        <v/>
      </c>
      <c r="AQ516" s="177">
        <f>中間シート!E364</f>
        <v>0</v>
      </c>
      <c r="AR516" s="148">
        <f>IF(F516="含まれている",1,IF(F516="含まれていない",2,0))</f>
        <v>0</v>
      </c>
      <c r="AS516" s="148" t="str">
        <f>IF(中間シート!N364=1,1,中間シート!P270)</f>
        <v/>
      </c>
    </row>
    <row r="517" spans="2:45" x14ac:dyDescent="0.2">
      <c r="C517" s="200"/>
      <c r="D517" s="200"/>
      <c r="E517" s="201"/>
      <c r="F517" s="205"/>
      <c r="G517" s="205"/>
      <c r="H517" s="205"/>
      <c r="I517" s="205"/>
      <c r="J517" s="205"/>
      <c r="K517" s="205"/>
      <c r="L517" s="205"/>
      <c r="M517" s="203"/>
      <c r="N517" s="203"/>
      <c r="O517" s="203"/>
      <c r="P517" s="205" t="s">
        <v>79</v>
      </c>
      <c r="Q517" s="203"/>
      <c r="R517" s="203" t="s">
        <v>79</v>
      </c>
      <c r="S517" s="203"/>
      <c r="T517" s="203"/>
      <c r="U517" s="203"/>
      <c r="V517" s="203" t="s">
        <v>79</v>
      </c>
      <c r="W517" s="200"/>
      <c r="X517" s="189" t="s">
        <v>79</v>
      </c>
      <c r="AQ517" s="148" t="s">
        <v>79</v>
      </c>
      <c r="AR517" s="148"/>
      <c r="AS517" s="148"/>
    </row>
    <row r="518" spans="2:45" ht="15.6" thickBot="1" x14ac:dyDescent="0.25">
      <c r="C518" s="158"/>
      <c r="D518" s="158"/>
      <c r="E518" s="197"/>
      <c r="F518" s="191"/>
      <c r="G518" s="191"/>
      <c r="H518" s="191"/>
      <c r="I518" s="192"/>
      <c r="J518" s="191"/>
      <c r="K518" s="191"/>
      <c r="L518" s="191"/>
      <c r="M518" s="191"/>
      <c r="N518" s="191"/>
      <c r="O518" s="191"/>
      <c r="P518" s="191" t="s">
        <v>79</v>
      </c>
      <c r="Q518" s="191"/>
      <c r="R518" s="191" t="s">
        <v>79</v>
      </c>
      <c r="S518" s="191"/>
      <c r="T518" s="191"/>
      <c r="U518" s="191"/>
      <c r="V518" s="191" t="s">
        <v>79</v>
      </c>
      <c r="W518" s="158"/>
      <c r="X518" s="189" t="s">
        <v>79</v>
      </c>
      <c r="AQ518" s="148" t="s">
        <v>79</v>
      </c>
      <c r="AR518" s="148"/>
      <c r="AS518" s="148"/>
    </row>
    <row r="519" spans="2:45" ht="18" customHeight="1" thickBot="1" x14ac:dyDescent="0.25">
      <c r="B519" s="145">
        <v>29</v>
      </c>
      <c r="C519" s="158"/>
      <c r="D519" s="152" t="s">
        <v>75</v>
      </c>
      <c r="E519" s="197" t="s">
        <v>550</v>
      </c>
      <c r="F519" s="275"/>
      <c r="G519" s="276"/>
      <c r="H519" s="277"/>
      <c r="I519" s="192"/>
      <c r="J519" s="117"/>
      <c r="K519" s="127"/>
      <c r="L519" s="117"/>
      <c r="M519" s="127"/>
      <c r="N519" s="158"/>
      <c r="O519" s="127"/>
      <c r="P519" s="198">
        <f>中間シート!D401</f>
        <v>0</v>
      </c>
      <c r="Q519" s="191"/>
      <c r="R519" s="198">
        <f>中間シート!G401</f>
        <v>0</v>
      </c>
      <c r="S519" s="191"/>
      <c r="T519" s="199" t="s">
        <v>40</v>
      </c>
      <c r="U519" s="191"/>
      <c r="V519" s="198">
        <f>中間シート!H401</f>
        <v>0</v>
      </c>
      <c r="W519" s="158"/>
      <c r="X519" s="189" t="str">
        <f>IF($B519&lt;=入力シート!$F$22,""&amp;中間シート!X365,"")</f>
        <v/>
      </c>
      <c r="AQ519" s="177">
        <f>中間シート!E365</f>
        <v>0</v>
      </c>
      <c r="AR519" s="148">
        <f>IF(F519="含まれている",1,IF(F519="含まれていない",2,0))</f>
        <v>0</v>
      </c>
      <c r="AS519" s="148" t="str">
        <f>IF(中間シート!N365=1,1,中間シート!P271)</f>
        <v/>
      </c>
    </row>
    <row r="520" spans="2:45" ht="5.0999999999999996" customHeight="1" thickBot="1" x14ac:dyDescent="0.25">
      <c r="C520" s="158"/>
      <c r="D520" s="158"/>
      <c r="E520" s="197"/>
      <c r="F520" s="191"/>
      <c r="G520" s="191"/>
      <c r="H520" s="191"/>
      <c r="I520" s="192"/>
      <c r="J520" s="127"/>
      <c r="K520" s="127"/>
      <c r="L520" s="127"/>
      <c r="M520" s="127"/>
      <c r="N520" s="158"/>
      <c r="O520" s="127"/>
      <c r="P520" s="191" t="s">
        <v>79</v>
      </c>
      <c r="Q520" s="191"/>
      <c r="R520" s="191" t="s">
        <v>79</v>
      </c>
      <c r="S520" s="191"/>
      <c r="T520" s="191"/>
      <c r="U520" s="191"/>
      <c r="V520" s="191" t="s">
        <v>79</v>
      </c>
      <c r="W520" s="158"/>
      <c r="X520" s="189" t="s">
        <v>79</v>
      </c>
      <c r="AQ520" s="148" t="s">
        <v>79</v>
      </c>
      <c r="AR520" s="148"/>
      <c r="AS520" s="148"/>
    </row>
    <row r="521" spans="2:45" ht="18" customHeight="1" thickBot="1" x14ac:dyDescent="0.25">
      <c r="B521" s="145">
        <v>29</v>
      </c>
      <c r="C521" s="158"/>
      <c r="D521" s="158"/>
      <c r="E521" s="197" t="s">
        <v>551</v>
      </c>
      <c r="F521" s="275"/>
      <c r="G521" s="276"/>
      <c r="H521" s="277"/>
      <c r="I521" s="192"/>
      <c r="J521" s="117"/>
      <c r="K521" s="127"/>
      <c r="L521" s="117"/>
      <c r="M521" s="127"/>
      <c r="N521" s="158"/>
      <c r="O521" s="127"/>
      <c r="P521" s="191" t="s">
        <v>79</v>
      </c>
      <c r="Q521" s="191"/>
      <c r="R521" s="191" t="s">
        <v>79</v>
      </c>
      <c r="S521" s="191"/>
      <c r="T521" s="191"/>
      <c r="U521" s="191"/>
      <c r="V521" s="191" t="s">
        <v>79</v>
      </c>
      <c r="W521" s="158"/>
      <c r="X521" s="189" t="str">
        <f>IF($B521&lt;=入力シート!$F$22,""&amp;中間シート!X366,"")</f>
        <v/>
      </c>
      <c r="AQ521" s="177">
        <f>中間シート!E366</f>
        <v>0</v>
      </c>
      <c r="AR521" s="148">
        <f>IF(F521="含まれている",1,IF(F521="含まれていない",2,0))</f>
        <v>0</v>
      </c>
      <c r="AS521" s="148" t="str">
        <f>IF(中間シート!N366=1,1,中間シート!P272)</f>
        <v/>
      </c>
    </row>
    <row r="522" spans="2:45" ht="5.0999999999999996" customHeight="1" thickBot="1" x14ac:dyDescent="0.25">
      <c r="C522" s="158"/>
      <c r="D522" s="158"/>
      <c r="E522" s="197"/>
      <c r="F522" s="191"/>
      <c r="G522" s="191"/>
      <c r="H522" s="191"/>
      <c r="I522" s="192"/>
      <c r="J522" s="127"/>
      <c r="K522" s="127"/>
      <c r="L522" s="127"/>
      <c r="M522" s="127"/>
      <c r="N522" s="158"/>
      <c r="O522" s="127"/>
      <c r="P522" s="191" t="s">
        <v>79</v>
      </c>
      <c r="Q522" s="191"/>
      <c r="R522" s="191" t="s">
        <v>79</v>
      </c>
      <c r="S522" s="191"/>
      <c r="T522" s="191"/>
      <c r="U522" s="191"/>
      <c r="V522" s="191" t="s">
        <v>79</v>
      </c>
      <c r="W522" s="158"/>
      <c r="X522" s="189" t="s">
        <v>79</v>
      </c>
      <c r="AQ522" s="177" t="s">
        <v>79</v>
      </c>
      <c r="AR522" s="148"/>
      <c r="AS522" s="148"/>
    </row>
    <row r="523" spans="2:45" ht="18" customHeight="1" thickBot="1" x14ac:dyDescent="0.25">
      <c r="B523" s="145">
        <v>29</v>
      </c>
      <c r="C523" s="158"/>
      <c r="D523" s="158"/>
      <c r="E523" s="197" t="s">
        <v>552</v>
      </c>
      <c r="F523" s="275"/>
      <c r="G523" s="276"/>
      <c r="H523" s="277"/>
      <c r="I523" s="192"/>
      <c r="J523" s="117"/>
      <c r="K523" s="127"/>
      <c r="L523" s="117"/>
      <c r="M523" s="127"/>
      <c r="N523" s="158"/>
      <c r="O523" s="127"/>
      <c r="P523" s="191" t="s">
        <v>79</v>
      </c>
      <c r="Q523" s="191"/>
      <c r="R523" s="191" t="s">
        <v>79</v>
      </c>
      <c r="S523" s="191"/>
      <c r="T523" s="191"/>
      <c r="U523" s="191"/>
      <c r="V523" s="191" t="s">
        <v>79</v>
      </c>
      <c r="W523" s="158"/>
      <c r="X523" s="189" t="str">
        <f>IF($B523&lt;=入力シート!$F$22,""&amp;中間シート!X367,"")</f>
        <v/>
      </c>
      <c r="AQ523" s="177">
        <f>中間シート!E367</f>
        <v>0</v>
      </c>
      <c r="AR523" s="148">
        <f>IF(F523="含まれている",1,IF(F523="含まれていない",2,0))</f>
        <v>0</v>
      </c>
      <c r="AS523" s="148" t="str">
        <f>IF(中間シート!N367=1,1,中間シート!P273)</f>
        <v/>
      </c>
    </row>
    <row r="524" spans="2:45" x14ac:dyDescent="0.2">
      <c r="C524" s="158"/>
      <c r="D524" s="158"/>
      <c r="E524" s="153"/>
      <c r="F524" s="127"/>
      <c r="G524" s="127"/>
      <c r="H524" s="127"/>
      <c r="I524" s="127"/>
      <c r="J524" s="127"/>
      <c r="K524" s="127"/>
      <c r="L524" s="127"/>
      <c r="M524" s="191"/>
      <c r="N524" s="191"/>
      <c r="O524" s="191"/>
      <c r="P524" s="127" t="s">
        <v>79</v>
      </c>
      <c r="Q524" s="191"/>
      <c r="R524" s="191" t="s">
        <v>79</v>
      </c>
      <c r="S524" s="191"/>
      <c r="T524" s="191"/>
      <c r="U524" s="191"/>
      <c r="V524" s="191" t="s">
        <v>79</v>
      </c>
      <c r="W524" s="158"/>
      <c r="X524" s="189" t="s">
        <v>79</v>
      </c>
      <c r="AQ524" s="148" t="s">
        <v>79</v>
      </c>
      <c r="AR524" s="148"/>
      <c r="AS524" s="148"/>
    </row>
    <row r="525" spans="2:45" ht="15.6" thickBot="1" x14ac:dyDescent="0.25">
      <c r="C525" s="200"/>
      <c r="D525" s="200"/>
      <c r="E525" s="201"/>
      <c r="F525" s="200"/>
      <c r="G525" s="200"/>
      <c r="H525" s="200"/>
      <c r="I525" s="202"/>
      <c r="J525" s="200"/>
      <c r="K525" s="200"/>
      <c r="L525" s="200"/>
      <c r="M525" s="200"/>
      <c r="N525" s="200"/>
      <c r="O525" s="200"/>
      <c r="P525" s="200" t="s">
        <v>79</v>
      </c>
      <c r="Q525" s="200"/>
      <c r="R525" s="200" t="s">
        <v>79</v>
      </c>
      <c r="S525" s="200"/>
      <c r="T525" s="200"/>
      <c r="U525" s="200"/>
      <c r="V525" s="200" t="s">
        <v>79</v>
      </c>
      <c r="W525" s="200"/>
      <c r="X525" s="189" t="s">
        <v>79</v>
      </c>
      <c r="AQ525" s="148" t="s">
        <v>79</v>
      </c>
      <c r="AR525" s="148"/>
      <c r="AS525" s="148"/>
    </row>
    <row r="526" spans="2:45" ht="18" customHeight="1" thickBot="1" x14ac:dyDescent="0.25">
      <c r="B526" s="145">
        <v>30</v>
      </c>
      <c r="C526" s="200"/>
      <c r="D526" s="204" t="s">
        <v>76</v>
      </c>
      <c r="E526" s="201" t="s">
        <v>550</v>
      </c>
      <c r="F526" s="275"/>
      <c r="G526" s="276"/>
      <c r="H526" s="277"/>
      <c r="I526" s="202"/>
      <c r="J526" s="117"/>
      <c r="K526" s="205"/>
      <c r="L526" s="117"/>
      <c r="M526" s="205"/>
      <c r="N526" s="203" t="s">
        <v>79</v>
      </c>
      <c r="O526" s="205"/>
      <c r="P526" s="198">
        <f>中間シート!D402</f>
        <v>0</v>
      </c>
      <c r="Q526" s="203"/>
      <c r="R526" s="198">
        <f>中間シート!G402</f>
        <v>0</v>
      </c>
      <c r="S526" s="203"/>
      <c r="T526" s="206" t="s">
        <v>40</v>
      </c>
      <c r="U526" s="203"/>
      <c r="V526" s="198">
        <f>中間シート!H402</f>
        <v>0</v>
      </c>
      <c r="W526" s="200"/>
      <c r="X526" s="189" t="str">
        <f>IF($B526&lt;=入力シート!$F$22,""&amp;中間シート!X368,"")</f>
        <v/>
      </c>
      <c r="AQ526" s="177">
        <f>中間シート!E368</f>
        <v>0</v>
      </c>
      <c r="AR526" s="148">
        <f>IF(F526="含まれている",1,IF(F526="含まれていない",2,0))</f>
        <v>0</v>
      </c>
      <c r="AS526" s="148" t="str">
        <f>IF(中間シート!N368=1,1,中間シート!P274)</f>
        <v/>
      </c>
    </row>
    <row r="527" spans="2:45" ht="5.0999999999999996" customHeight="1" thickBot="1" x14ac:dyDescent="0.25">
      <c r="C527" s="200"/>
      <c r="D527" s="200"/>
      <c r="E527" s="201"/>
      <c r="F527" s="203"/>
      <c r="G527" s="203"/>
      <c r="H527" s="203"/>
      <c r="I527" s="202"/>
      <c r="J527" s="205"/>
      <c r="K527" s="205"/>
      <c r="L527" s="205"/>
      <c r="M527" s="205"/>
      <c r="N527" s="203" t="s">
        <v>79</v>
      </c>
      <c r="O527" s="205"/>
      <c r="P527" s="203" t="s">
        <v>79</v>
      </c>
      <c r="Q527" s="203"/>
      <c r="R527" s="203" t="s">
        <v>79</v>
      </c>
      <c r="S527" s="203"/>
      <c r="T527" s="203"/>
      <c r="U527" s="203"/>
      <c r="V527" s="203" t="s">
        <v>79</v>
      </c>
      <c r="W527" s="200"/>
      <c r="X527" s="189" t="s">
        <v>79</v>
      </c>
      <c r="AQ527" s="148" t="s">
        <v>79</v>
      </c>
      <c r="AR527" s="148"/>
      <c r="AS527" s="148"/>
    </row>
    <row r="528" spans="2:45" ht="18" customHeight="1" thickBot="1" x14ac:dyDescent="0.25">
      <c r="B528" s="145">
        <v>30</v>
      </c>
      <c r="C528" s="200"/>
      <c r="D528" s="200"/>
      <c r="E528" s="201" t="s">
        <v>551</v>
      </c>
      <c r="F528" s="275"/>
      <c r="G528" s="276"/>
      <c r="H528" s="277"/>
      <c r="I528" s="202"/>
      <c r="J528" s="117"/>
      <c r="K528" s="205"/>
      <c r="L528" s="117"/>
      <c r="M528" s="205"/>
      <c r="N528" s="203" t="s">
        <v>79</v>
      </c>
      <c r="O528" s="205"/>
      <c r="P528" s="203" t="s">
        <v>79</v>
      </c>
      <c r="Q528" s="203"/>
      <c r="R528" s="203" t="s">
        <v>79</v>
      </c>
      <c r="S528" s="203"/>
      <c r="T528" s="203"/>
      <c r="U528" s="203"/>
      <c r="V528" s="203" t="s">
        <v>79</v>
      </c>
      <c r="W528" s="200"/>
      <c r="X528" s="189" t="str">
        <f>IF($B528&lt;=入力シート!$F$22,""&amp;中間シート!X369,"")</f>
        <v/>
      </c>
      <c r="AQ528" s="177">
        <f>中間シート!E369</f>
        <v>0</v>
      </c>
      <c r="AR528" s="148">
        <f>IF(F528="含まれている",1,IF(F528="含まれていない",2,0))</f>
        <v>0</v>
      </c>
      <c r="AS528" s="148" t="str">
        <f>IF(中間シート!N369=1,1,中間シート!P275)</f>
        <v/>
      </c>
    </row>
    <row r="529" spans="2:45" ht="5.0999999999999996" customHeight="1" thickBot="1" x14ac:dyDescent="0.25">
      <c r="C529" s="200"/>
      <c r="D529" s="200"/>
      <c r="E529" s="201"/>
      <c r="F529" s="203"/>
      <c r="G529" s="203"/>
      <c r="H529" s="203"/>
      <c r="I529" s="202"/>
      <c r="J529" s="205"/>
      <c r="K529" s="205"/>
      <c r="L529" s="205"/>
      <c r="M529" s="205"/>
      <c r="N529" s="203" t="s">
        <v>79</v>
      </c>
      <c r="O529" s="205"/>
      <c r="P529" s="203" t="s">
        <v>79</v>
      </c>
      <c r="Q529" s="203"/>
      <c r="R529" s="203" t="s">
        <v>79</v>
      </c>
      <c r="S529" s="203"/>
      <c r="T529" s="203"/>
      <c r="U529" s="203"/>
      <c r="V529" s="203" t="s">
        <v>79</v>
      </c>
      <c r="W529" s="200"/>
      <c r="X529" s="189" t="s">
        <v>79</v>
      </c>
      <c r="AQ529" s="177" t="s">
        <v>79</v>
      </c>
      <c r="AR529" s="148"/>
      <c r="AS529" s="148"/>
    </row>
    <row r="530" spans="2:45" ht="18" customHeight="1" thickBot="1" x14ac:dyDescent="0.25">
      <c r="B530" s="145">
        <v>30</v>
      </c>
      <c r="C530" s="200"/>
      <c r="D530" s="200"/>
      <c r="E530" s="201" t="s">
        <v>552</v>
      </c>
      <c r="F530" s="240"/>
      <c r="G530" s="241"/>
      <c r="H530" s="242"/>
      <c r="I530" s="202"/>
      <c r="J530" s="117"/>
      <c r="K530" s="205"/>
      <c r="L530" s="117"/>
      <c r="M530" s="205"/>
      <c r="N530" s="203" t="s">
        <v>79</v>
      </c>
      <c r="O530" s="205"/>
      <c r="P530" s="203" t="s">
        <v>79</v>
      </c>
      <c r="Q530" s="203"/>
      <c r="R530" s="203" t="s">
        <v>79</v>
      </c>
      <c r="S530" s="203"/>
      <c r="T530" s="203"/>
      <c r="U530" s="203"/>
      <c r="V530" s="203" t="s">
        <v>79</v>
      </c>
      <c r="W530" s="200"/>
      <c r="X530" s="189" t="str">
        <f>IF($B530&lt;=入力シート!$F$22,""&amp;中間シート!X370,"")</f>
        <v/>
      </c>
      <c r="AQ530" s="177">
        <f>中間シート!E370</f>
        <v>0</v>
      </c>
      <c r="AR530" s="148">
        <f>IF(F530="含まれている",1,IF(F530="含まれていない",2,0))</f>
        <v>0</v>
      </c>
      <c r="AS530" s="148" t="str">
        <f>IF(中間シート!N370=1,1,中間シート!P276)</f>
        <v/>
      </c>
    </row>
    <row r="531" spans="2:45" x14ac:dyDescent="0.2">
      <c r="C531" s="200"/>
      <c r="D531" s="200"/>
      <c r="E531" s="201"/>
      <c r="F531" s="205"/>
      <c r="G531" s="205"/>
      <c r="H531" s="205"/>
      <c r="I531" s="205"/>
      <c r="J531" s="205"/>
      <c r="K531" s="205"/>
      <c r="L531" s="205"/>
      <c r="M531" s="203"/>
      <c r="N531" s="203"/>
      <c r="O531" s="203"/>
      <c r="P531" s="205" t="s">
        <v>79</v>
      </c>
      <c r="Q531" s="203"/>
      <c r="R531" s="203" t="s">
        <v>79</v>
      </c>
      <c r="S531" s="203"/>
      <c r="T531" s="203"/>
      <c r="U531" s="203"/>
      <c r="V531" s="203" t="s">
        <v>79</v>
      </c>
      <c r="W531" s="200"/>
      <c r="X531" s="187" t="s">
        <v>79</v>
      </c>
      <c r="AQ531" s="148" t="s">
        <v>79</v>
      </c>
      <c r="AR531" s="148"/>
      <c r="AS531" s="148"/>
    </row>
    <row r="532" spans="2:45" x14ac:dyDescent="0.2">
      <c r="C532" s="200"/>
      <c r="D532" s="200"/>
      <c r="E532" s="208"/>
      <c r="F532" s="205"/>
      <c r="G532" s="205"/>
      <c r="H532" s="205"/>
      <c r="I532" s="205"/>
      <c r="J532" s="205"/>
      <c r="K532" s="205"/>
      <c r="L532" s="205"/>
      <c r="M532" s="203"/>
      <c r="N532" s="203"/>
      <c r="O532" s="203"/>
      <c r="P532" s="205"/>
      <c r="Q532" s="203"/>
      <c r="R532" s="203"/>
      <c r="S532" s="203"/>
      <c r="T532" s="203"/>
      <c r="U532" s="203"/>
      <c r="V532" s="203"/>
      <c r="W532" s="200"/>
      <c r="X532" s="187"/>
      <c r="AQ532" s="148"/>
      <c r="AR532" s="148"/>
      <c r="AS532" s="148"/>
    </row>
    <row r="533" spans="2:45" x14ac:dyDescent="0.2">
      <c r="C533" s="200"/>
      <c r="D533" s="200"/>
      <c r="E533" s="209"/>
      <c r="F533" s="200"/>
      <c r="G533" s="200"/>
      <c r="H533" s="200"/>
      <c r="I533" s="202"/>
      <c r="J533" s="200"/>
      <c r="K533" s="200"/>
      <c r="L533" s="200"/>
      <c r="M533" s="200"/>
      <c r="N533" s="200"/>
      <c r="O533" s="200"/>
      <c r="P533" s="200"/>
      <c r="Q533" s="200"/>
      <c r="R533" s="200"/>
      <c r="S533" s="200"/>
      <c r="T533" s="284" t="s">
        <v>77</v>
      </c>
      <c r="U533" s="284"/>
      <c r="V533" s="284"/>
      <c r="W533" s="200"/>
      <c r="X533" s="187"/>
      <c r="AQ533" s="148"/>
      <c r="AR533" s="148"/>
      <c r="AS533" s="148"/>
    </row>
    <row r="534" spans="2:45" x14ac:dyDescent="0.2">
      <c r="C534" s="200"/>
      <c r="D534" s="200"/>
      <c r="E534" s="209"/>
      <c r="F534" s="200"/>
      <c r="G534" s="200"/>
      <c r="H534" s="200"/>
      <c r="I534" s="202"/>
      <c r="J534" s="200"/>
      <c r="K534" s="200"/>
      <c r="L534" s="200"/>
      <c r="M534" s="200"/>
      <c r="N534" s="200"/>
      <c r="O534" s="200"/>
      <c r="P534" s="200"/>
      <c r="Q534" s="200"/>
      <c r="R534" s="200"/>
      <c r="S534" s="200"/>
      <c r="T534" s="210"/>
      <c r="U534" s="210"/>
      <c r="V534" s="210"/>
      <c r="W534" s="200"/>
      <c r="X534" s="187"/>
      <c r="AQ534" s="148"/>
      <c r="AR534" s="148"/>
      <c r="AS534" s="148"/>
    </row>
  </sheetData>
  <sheetProtection algorithmName="SHA-512" hashValue="/1YfWw80pqt4N7B+XdGvRStlXOL35qKU37oO8xWX8YqMpbTHenHjylSDYut40e0aQOZpG6D52uIqSK9Jo5NnHw==" saltValue="KTj2Gnk5t6YJ8c99YRdPZw==" spinCount="100000" sheet="1" selectLockedCells="1" autoFilter="0"/>
  <mergeCells count="406">
    <mergeCell ref="C2:X2"/>
    <mergeCell ref="J95:P95"/>
    <mergeCell ref="J97:P97"/>
    <mergeCell ref="J99:P99"/>
    <mergeCell ref="J102:P102"/>
    <mergeCell ref="J104:P104"/>
    <mergeCell ref="J106:P106"/>
    <mergeCell ref="J109:P109"/>
    <mergeCell ref="J111:P111"/>
    <mergeCell ref="F41:J41"/>
    <mergeCell ref="F63:J63"/>
    <mergeCell ref="F65:J65"/>
    <mergeCell ref="F67:J67"/>
    <mergeCell ref="F69:J69"/>
    <mergeCell ref="F71:J71"/>
    <mergeCell ref="F43:J43"/>
    <mergeCell ref="F45:J45"/>
    <mergeCell ref="F47:J47"/>
    <mergeCell ref="F49:J49"/>
    <mergeCell ref="F51:J51"/>
    <mergeCell ref="F53:J53"/>
    <mergeCell ref="F27:J27"/>
    <mergeCell ref="F29:J29"/>
    <mergeCell ref="V35:X35"/>
    <mergeCell ref="J113:P113"/>
    <mergeCell ref="X295:AO295"/>
    <mergeCell ref="X298:AO298"/>
    <mergeCell ref="X300:AO300"/>
    <mergeCell ref="X302:AO302"/>
    <mergeCell ref="X272:AO272"/>
    <mergeCell ref="X274:AO274"/>
    <mergeCell ref="X277:AO277"/>
    <mergeCell ref="X279:AO279"/>
    <mergeCell ref="X281:AO281"/>
    <mergeCell ref="X284:AO284"/>
    <mergeCell ref="X286:AO286"/>
    <mergeCell ref="X288:AO288"/>
    <mergeCell ref="X291:AO291"/>
    <mergeCell ref="X253:AO253"/>
    <mergeCell ref="X256:AO256"/>
    <mergeCell ref="X258:AO258"/>
    <mergeCell ref="X260:AO260"/>
    <mergeCell ref="X263:AO263"/>
    <mergeCell ref="X265:AO265"/>
    <mergeCell ref="X267:AO267"/>
    <mergeCell ref="X270:AO270"/>
    <mergeCell ref="X293:AO293"/>
    <mergeCell ref="X232:AO232"/>
    <mergeCell ref="X235:AO235"/>
    <mergeCell ref="X237:AO237"/>
    <mergeCell ref="X239:AO239"/>
    <mergeCell ref="X242:AO242"/>
    <mergeCell ref="X244:AO244"/>
    <mergeCell ref="X246:AO246"/>
    <mergeCell ref="X249:AO249"/>
    <mergeCell ref="X251:AO251"/>
    <mergeCell ref="X211:AO211"/>
    <mergeCell ref="X214:AO214"/>
    <mergeCell ref="X216:AO216"/>
    <mergeCell ref="X218:AO218"/>
    <mergeCell ref="X221:AO221"/>
    <mergeCell ref="X223:AO223"/>
    <mergeCell ref="X225:AO225"/>
    <mergeCell ref="X228:AO228"/>
    <mergeCell ref="X230:AO230"/>
    <mergeCell ref="X190:AO190"/>
    <mergeCell ref="X193:AO193"/>
    <mergeCell ref="X195:AO195"/>
    <mergeCell ref="X197:AO197"/>
    <mergeCell ref="X200:AO200"/>
    <mergeCell ref="X202:AO202"/>
    <mergeCell ref="X204:AO204"/>
    <mergeCell ref="X207:AO207"/>
    <mergeCell ref="X209:AO209"/>
    <mergeCell ref="X169:AO169"/>
    <mergeCell ref="X172:AO172"/>
    <mergeCell ref="X174:AO174"/>
    <mergeCell ref="X176:AO176"/>
    <mergeCell ref="X179:AO179"/>
    <mergeCell ref="X181:AO181"/>
    <mergeCell ref="X183:AO183"/>
    <mergeCell ref="X186:AO186"/>
    <mergeCell ref="X188:AO188"/>
    <mergeCell ref="X148:AO148"/>
    <mergeCell ref="X151:AO151"/>
    <mergeCell ref="X153:AO153"/>
    <mergeCell ref="X155:AO155"/>
    <mergeCell ref="X158:AO158"/>
    <mergeCell ref="X160:AO160"/>
    <mergeCell ref="X162:AO162"/>
    <mergeCell ref="X165:AO165"/>
    <mergeCell ref="X167:AO167"/>
    <mergeCell ref="T533:V533"/>
    <mergeCell ref="X95:AO95"/>
    <mergeCell ref="X97:AO97"/>
    <mergeCell ref="X99:AO99"/>
    <mergeCell ref="X102:AO102"/>
    <mergeCell ref="X104:AO104"/>
    <mergeCell ref="X106:AO106"/>
    <mergeCell ref="X109:AO109"/>
    <mergeCell ref="X111:AO111"/>
    <mergeCell ref="X113:AO113"/>
    <mergeCell ref="X116:AO116"/>
    <mergeCell ref="X118:AO118"/>
    <mergeCell ref="X120:AO120"/>
    <mergeCell ref="X123:AO123"/>
    <mergeCell ref="X125:AO125"/>
    <mergeCell ref="X127:AO127"/>
    <mergeCell ref="X130:AO130"/>
    <mergeCell ref="X132:AO132"/>
    <mergeCell ref="X134:AO134"/>
    <mergeCell ref="X137:AO137"/>
    <mergeCell ref="X139:AO139"/>
    <mergeCell ref="X141:AO141"/>
    <mergeCell ref="X144:AO144"/>
    <mergeCell ref="X146:AO146"/>
    <mergeCell ref="F530:H530"/>
    <mergeCell ref="F509:H509"/>
    <mergeCell ref="F512:H512"/>
    <mergeCell ref="F514:H514"/>
    <mergeCell ref="F516:H516"/>
    <mergeCell ref="F519:H519"/>
    <mergeCell ref="F521:H521"/>
    <mergeCell ref="F523:H523"/>
    <mergeCell ref="F526:H526"/>
    <mergeCell ref="F528:H528"/>
    <mergeCell ref="F467:H467"/>
    <mergeCell ref="F470:H470"/>
    <mergeCell ref="F472:H472"/>
    <mergeCell ref="F474:H474"/>
    <mergeCell ref="F477:H477"/>
    <mergeCell ref="F479:H479"/>
    <mergeCell ref="F481:H481"/>
    <mergeCell ref="F484:H484"/>
    <mergeCell ref="F486:H486"/>
    <mergeCell ref="F488:H488"/>
    <mergeCell ref="F491:H491"/>
    <mergeCell ref="F493:H493"/>
    <mergeCell ref="F495:H495"/>
    <mergeCell ref="F498:H498"/>
    <mergeCell ref="F500:H500"/>
    <mergeCell ref="F502:H502"/>
    <mergeCell ref="F505:H505"/>
    <mergeCell ref="F507:H507"/>
    <mergeCell ref="F425:H425"/>
    <mergeCell ref="F428:H428"/>
    <mergeCell ref="F430:H430"/>
    <mergeCell ref="F432:H432"/>
    <mergeCell ref="F435:H435"/>
    <mergeCell ref="F437:H437"/>
    <mergeCell ref="F439:H439"/>
    <mergeCell ref="F442:H442"/>
    <mergeCell ref="F444:H444"/>
    <mergeCell ref="F446:H446"/>
    <mergeCell ref="F449:H449"/>
    <mergeCell ref="F451:H451"/>
    <mergeCell ref="F453:H453"/>
    <mergeCell ref="F456:H456"/>
    <mergeCell ref="F458:H458"/>
    <mergeCell ref="F460:H460"/>
    <mergeCell ref="F463:H463"/>
    <mergeCell ref="F465:H465"/>
    <mergeCell ref="F383:H383"/>
    <mergeCell ref="F386:H386"/>
    <mergeCell ref="F388:H388"/>
    <mergeCell ref="F390:H390"/>
    <mergeCell ref="F393:H393"/>
    <mergeCell ref="F395:H395"/>
    <mergeCell ref="F397:H397"/>
    <mergeCell ref="F400:H400"/>
    <mergeCell ref="F402:H402"/>
    <mergeCell ref="F404:H404"/>
    <mergeCell ref="F407:H407"/>
    <mergeCell ref="F409:H409"/>
    <mergeCell ref="F411:H411"/>
    <mergeCell ref="F414:H414"/>
    <mergeCell ref="F416:H416"/>
    <mergeCell ref="F418:H418"/>
    <mergeCell ref="F421:H421"/>
    <mergeCell ref="F423:H423"/>
    <mergeCell ref="F381:H381"/>
    <mergeCell ref="F321:H321"/>
    <mergeCell ref="F323:H323"/>
    <mergeCell ref="F325:H325"/>
    <mergeCell ref="F327:H327"/>
    <mergeCell ref="F330:H330"/>
    <mergeCell ref="F332:H332"/>
    <mergeCell ref="F334:H334"/>
    <mergeCell ref="F337:H337"/>
    <mergeCell ref="F339:H339"/>
    <mergeCell ref="F341:H341"/>
    <mergeCell ref="F344:H344"/>
    <mergeCell ref="F346:H346"/>
    <mergeCell ref="F348:H348"/>
    <mergeCell ref="F351:H351"/>
    <mergeCell ref="F353:H353"/>
    <mergeCell ref="F355:H355"/>
    <mergeCell ref="F358:H358"/>
    <mergeCell ref="F360:H360"/>
    <mergeCell ref="F362:H362"/>
    <mergeCell ref="F365:H365"/>
    <mergeCell ref="F367:H367"/>
    <mergeCell ref="F369:H369"/>
    <mergeCell ref="F372:H372"/>
    <mergeCell ref="D316:W316"/>
    <mergeCell ref="F374:H374"/>
    <mergeCell ref="F376:H376"/>
    <mergeCell ref="F379:H379"/>
    <mergeCell ref="T305:V305"/>
    <mergeCell ref="J298:P298"/>
    <mergeCell ref="J300:P300"/>
    <mergeCell ref="J302:P302"/>
    <mergeCell ref="J291:P291"/>
    <mergeCell ref="J293:P293"/>
    <mergeCell ref="J295:P295"/>
    <mergeCell ref="J284:P284"/>
    <mergeCell ref="J286:P286"/>
    <mergeCell ref="J288:P288"/>
    <mergeCell ref="J277:P277"/>
    <mergeCell ref="J279:P279"/>
    <mergeCell ref="J281:P281"/>
    <mergeCell ref="J270:P270"/>
    <mergeCell ref="J272:P272"/>
    <mergeCell ref="J274:P274"/>
    <mergeCell ref="J263:P263"/>
    <mergeCell ref="J265:P265"/>
    <mergeCell ref="J267:P267"/>
    <mergeCell ref="J256:P256"/>
    <mergeCell ref="J258:P258"/>
    <mergeCell ref="J260:P260"/>
    <mergeCell ref="J249:P249"/>
    <mergeCell ref="J251:P251"/>
    <mergeCell ref="J253:P253"/>
    <mergeCell ref="J242:P242"/>
    <mergeCell ref="J244:P244"/>
    <mergeCell ref="J246:P246"/>
    <mergeCell ref="J235:P235"/>
    <mergeCell ref="J237:P237"/>
    <mergeCell ref="J239:P239"/>
    <mergeCell ref="J228:P228"/>
    <mergeCell ref="J230:P230"/>
    <mergeCell ref="J232:P232"/>
    <mergeCell ref="J221:P221"/>
    <mergeCell ref="J223:P223"/>
    <mergeCell ref="J225:P225"/>
    <mergeCell ref="J214:P214"/>
    <mergeCell ref="J216:P216"/>
    <mergeCell ref="J218:P218"/>
    <mergeCell ref="J207:P207"/>
    <mergeCell ref="J209:P209"/>
    <mergeCell ref="J211:P211"/>
    <mergeCell ref="J200:P200"/>
    <mergeCell ref="J202:P202"/>
    <mergeCell ref="J204:P204"/>
    <mergeCell ref="J193:P193"/>
    <mergeCell ref="J195:P195"/>
    <mergeCell ref="J197:P197"/>
    <mergeCell ref="J186:P186"/>
    <mergeCell ref="J188:P188"/>
    <mergeCell ref="J190:P190"/>
    <mergeCell ref="J179:P179"/>
    <mergeCell ref="J181:P181"/>
    <mergeCell ref="J183:P183"/>
    <mergeCell ref="J172:P172"/>
    <mergeCell ref="J174:P174"/>
    <mergeCell ref="J176:P176"/>
    <mergeCell ref="J165:P165"/>
    <mergeCell ref="J167:P167"/>
    <mergeCell ref="J169:P169"/>
    <mergeCell ref="J158:P158"/>
    <mergeCell ref="J160:P160"/>
    <mergeCell ref="J162:P162"/>
    <mergeCell ref="J151:P151"/>
    <mergeCell ref="J153:P153"/>
    <mergeCell ref="J155:P155"/>
    <mergeCell ref="J144:P144"/>
    <mergeCell ref="J146:P146"/>
    <mergeCell ref="J148:P148"/>
    <mergeCell ref="J137:P137"/>
    <mergeCell ref="J139:P139"/>
    <mergeCell ref="J141:P141"/>
    <mergeCell ref="J130:P130"/>
    <mergeCell ref="J132:P132"/>
    <mergeCell ref="J134:P134"/>
    <mergeCell ref="J123:P123"/>
    <mergeCell ref="J125:P125"/>
    <mergeCell ref="J127:P127"/>
    <mergeCell ref="J116:P116"/>
    <mergeCell ref="J118:P118"/>
    <mergeCell ref="J120:P120"/>
    <mergeCell ref="D7:L7"/>
    <mergeCell ref="D9:L9"/>
    <mergeCell ref="D11:L11"/>
    <mergeCell ref="Z81:AB81"/>
    <mergeCell ref="F73:J73"/>
    <mergeCell ref="V20:X20"/>
    <mergeCell ref="Z20:AB20"/>
    <mergeCell ref="F23:J23"/>
    <mergeCell ref="F25:J25"/>
    <mergeCell ref="F20:J20"/>
    <mergeCell ref="L20:N20"/>
    <mergeCell ref="R20:T20"/>
    <mergeCell ref="F21:J21"/>
    <mergeCell ref="R21:T21"/>
    <mergeCell ref="F55:J55"/>
    <mergeCell ref="F57:J57"/>
    <mergeCell ref="R23:T23"/>
    <mergeCell ref="R25:T25"/>
    <mergeCell ref="R27:T27"/>
    <mergeCell ref="F59:J59"/>
    <mergeCell ref="F61:J61"/>
    <mergeCell ref="F31:J31"/>
    <mergeCell ref="F33:J33"/>
    <mergeCell ref="F35:J35"/>
    <mergeCell ref="F37:J37"/>
    <mergeCell ref="F39:J39"/>
    <mergeCell ref="Z35:AB35"/>
    <mergeCell ref="V37:X37"/>
    <mergeCell ref="Z37:AB37"/>
    <mergeCell ref="V39:X39"/>
    <mergeCell ref="Z39:AB39"/>
    <mergeCell ref="V31:X31"/>
    <mergeCell ref="Z31:AB31"/>
    <mergeCell ref="V33:X33"/>
    <mergeCell ref="Z33:AB33"/>
    <mergeCell ref="Z45:AB45"/>
    <mergeCell ref="R55:T55"/>
    <mergeCell ref="R57:T57"/>
    <mergeCell ref="R59:T59"/>
    <mergeCell ref="R61:T61"/>
    <mergeCell ref="V43:X43"/>
    <mergeCell ref="Z43:AB43"/>
    <mergeCell ref="V23:X23"/>
    <mergeCell ref="Z23:AB23"/>
    <mergeCell ref="V25:X25"/>
    <mergeCell ref="Z25:AB25"/>
    <mergeCell ref="V27:X27"/>
    <mergeCell ref="Z27:AB27"/>
    <mergeCell ref="V41:X41"/>
    <mergeCell ref="Z41:AB41"/>
    <mergeCell ref="R53:T53"/>
    <mergeCell ref="R29:T29"/>
    <mergeCell ref="R31:T31"/>
    <mergeCell ref="R33:T33"/>
    <mergeCell ref="R35:T35"/>
    <mergeCell ref="R37:T37"/>
    <mergeCell ref="R39:T39"/>
    <mergeCell ref="V29:X29"/>
    <mergeCell ref="Z29:AB29"/>
    <mergeCell ref="R63:T63"/>
    <mergeCell ref="V59:X59"/>
    <mergeCell ref="R41:T41"/>
    <mergeCell ref="R43:T43"/>
    <mergeCell ref="R45:T45"/>
    <mergeCell ref="R47:T47"/>
    <mergeCell ref="R49:T49"/>
    <mergeCell ref="R51:T51"/>
    <mergeCell ref="V45:X45"/>
    <mergeCell ref="Z65:AB65"/>
    <mergeCell ref="V67:X67"/>
    <mergeCell ref="Z67:AB67"/>
    <mergeCell ref="V53:X53"/>
    <mergeCell ref="Z53:AB53"/>
    <mergeCell ref="V55:X55"/>
    <mergeCell ref="Z55:AB55"/>
    <mergeCell ref="V57:X57"/>
    <mergeCell ref="Z57:AB57"/>
    <mergeCell ref="Z69:AB69"/>
    <mergeCell ref="Z59:AB59"/>
    <mergeCell ref="V61:X61"/>
    <mergeCell ref="Z61:AB61"/>
    <mergeCell ref="V77:X77"/>
    <mergeCell ref="Z77:AB77"/>
    <mergeCell ref="V79:X79"/>
    <mergeCell ref="Z79:AB79"/>
    <mergeCell ref="V21:X21"/>
    <mergeCell ref="Z21:AB21"/>
    <mergeCell ref="V47:X47"/>
    <mergeCell ref="Z47:AB47"/>
    <mergeCell ref="V49:X49"/>
    <mergeCell ref="Z49:AB49"/>
    <mergeCell ref="V51:X51"/>
    <mergeCell ref="Z51:AB51"/>
    <mergeCell ref="V71:X71"/>
    <mergeCell ref="Z71:AB71"/>
    <mergeCell ref="V73:X73"/>
    <mergeCell ref="Z73:AB73"/>
    <mergeCell ref="V75:X75"/>
    <mergeCell ref="Z75:AB75"/>
    <mergeCell ref="V63:X63"/>
    <mergeCell ref="Z63:AB63"/>
    <mergeCell ref="D92:V92"/>
    <mergeCell ref="F79:J79"/>
    <mergeCell ref="R65:T65"/>
    <mergeCell ref="R67:T67"/>
    <mergeCell ref="R69:T69"/>
    <mergeCell ref="R71:T71"/>
    <mergeCell ref="R73:T73"/>
    <mergeCell ref="R75:T75"/>
    <mergeCell ref="F75:J75"/>
    <mergeCell ref="F77:J77"/>
    <mergeCell ref="D90:V90"/>
    <mergeCell ref="V69:X69"/>
    <mergeCell ref="R77:T77"/>
    <mergeCell ref="R79:T79"/>
    <mergeCell ref="V65:X65"/>
  </mergeCells>
  <phoneticPr fontId="6"/>
  <conditionalFormatting sqref="F323 J323 L323 F325 J325 L325 F327 J327 L327 F330:H330 J330 L330 F332:H332 J332 L332 F334:H334 J334 L334 F337:H337 J337 L337 F339:H339 J339 L339 F341:H341 J341 L341 F344:H344 J344 L344 F346:H346 J346 L346 F348:H348 J348 L348">
    <cfRule type="expression" dxfId="323" priority="838">
      <formula>$AQ323=0</formula>
    </cfRule>
  </conditionalFormatting>
  <conditionalFormatting sqref="F351:H351 F353:H353 F355:H355 F358:H358 F360:H360 F362:H362">
    <cfRule type="expression" dxfId="321" priority="699">
      <formula>$AQ351=0</formula>
    </cfRule>
  </conditionalFormatting>
  <conditionalFormatting sqref="F365:H365 F367:H367 F369:H369 F372:H372 F374:H374 F376:H376">
    <cfRule type="expression" dxfId="319" priority="696">
      <formula>$AQ365=0</formula>
    </cfRule>
  </conditionalFormatting>
  <conditionalFormatting sqref="F379:H379 F381:H381 F383:H383 F386:H386 F388:H388 F390:H390">
    <cfRule type="expression" dxfId="317" priority="693">
      <formula>$AQ379=0</formula>
    </cfRule>
  </conditionalFormatting>
  <conditionalFormatting sqref="F393:H393 F395:H395 F397:H397 F400:H400 F402:H402 F404:H404">
    <cfRule type="expression" dxfId="315" priority="690">
      <formula>$AQ393=0</formula>
    </cfRule>
  </conditionalFormatting>
  <conditionalFormatting sqref="F407:H407 F409:H409 F411:H411 F414:H414 F416:H416 F418:H418">
    <cfRule type="expression" dxfId="313" priority="687">
      <formula>$AQ407=0</formula>
    </cfRule>
  </conditionalFormatting>
  <conditionalFormatting sqref="F421:H421 F423:H423 F425:H425 F428:H428 F430:H430 F432:H432">
    <cfRule type="expression" dxfId="311" priority="684">
      <formula>$AQ421=0</formula>
    </cfRule>
  </conditionalFormatting>
  <conditionalFormatting sqref="F435:H435 F437:H437 F439:H439 F442:H442 F444:H444 F446:H446">
    <cfRule type="expression" dxfId="309" priority="681">
      <formula>$AQ435=0</formula>
    </cfRule>
  </conditionalFormatting>
  <conditionalFormatting sqref="F449:H449 F451:H451 F453:H453 F456:H456 F458:H458 F460:H460">
    <cfRule type="expression" dxfId="307" priority="678">
      <formula>$AQ449=0</formula>
    </cfRule>
  </conditionalFormatting>
  <conditionalFormatting sqref="F463:H463 F465:H465 F467:H467 F470:H470 F472:H472 F474:H474">
    <cfRule type="expression" dxfId="305" priority="675">
      <formula>$AQ463=0</formula>
    </cfRule>
  </conditionalFormatting>
  <conditionalFormatting sqref="F477:H477 F479:H479 F481:H481 F484:H484 F486:H486 F488:H488">
    <cfRule type="expression" dxfId="303" priority="672">
      <formula>$AQ477=0</formula>
    </cfRule>
  </conditionalFormatting>
  <conditionalFormatting sqref="F491:H491 F493:H493 F495:H495 F498:H498 F500:H500 F502:H502">
    <cfRule type="expression" dxfId="301" priority="669">
      <formula>$AQ491=0</formula>
    </cfRule>
  </conditionalFormatting>
  <conditionalFormatting sqref="F505:H505 F507:H507 F509:H509 F512:H512 F514:H514 F516:H516">
    <cfRule type="expression" dxfId="299" priority="666">
      <formula>$AQ505=0</formula>
    </cfRule>
  </conditionalFormatting>
  <conditionalFormatting sqref="F519:H519 F521:H521 F523:H523 F526:H526 F528:H528 F530:H530">
    <cfRule type="expression" dxfId="297" priority="663">
      <formula>$AQ519=0</formula>
    </cfRule>
  </conditionalFormatting>
  <conditionalFormatting sqref="F23:J79">
    <cfRule type="expression" dxfId="294" priority="925">
      <formula>OR(AND($F23="",1&lt;COUNTIF($L23:$Z23,"&lt;&gt;")),AND($F23&lt;&gt;"",$AI23&lt;&gt;"OK"))</formula>
    </cfRule>
  </conditionalFormatting>
  <conditionalFormatting sqref="J95 J97 J99 J102 J104 J106 J109 J111 J113 J116 J118 J120 J123 J125 J127 J130 J132 J134 J137 J139 J141 J144 J146 J148 J151 J153 J155 J158 J160 J162 J165 J167 J169 J172 J174 J176 J179 J181 J183 J186 J188 J190 J193 J195 J197 J200 J202 J204 J207 J209 J211 J214 J216 J218 J221 J223 J225 J228 J230 J232 J235 J237 J239 J242 J244 J246 J249 J251 J253 J256 J258 J260 J263 J265 J267 J270 J272 J274 J277 J279 J281 J284 J286 J288 J291 J293 J295 J298 J300 J302">
    <cfRule type="expression" dxfId="293" priority="918">
      <formula>$AQ95&lt;&gt;1</formula>
    </cfRule>
  </conditionalFormatting>
  <conditionalFormatting sqref="J323 J325 J327 J330 J332 J334 J337 J339 J341 J344 J346 J348">
    <cfRule type="expression" dxfId="202" priority="839">
      <formula>$AR323=2</formula>
    </cfRule>
  </conditionalFormatting>
  <conditionalFormatting sqref="J330 L330 J332 L332 J334 L334">
    <cfRule type="expression" dxfId="201" priority="525">
      <formula>$AR330=0</formula>
    </cfRule>
  </conditionalFormatting>
  <conditionalFormatting sqref="J337 L337 J339 L339 J341 L341">
    <cfRule type="expression" dxfId="200" priority="524">
      <formula>$AR337=0</formula>
    </cfRule>
  </conditionalFormatting>
  <conditionalFormatting sqref="J344 L344 J346 L346 J348 L348">
    <cfRule type="expression" dxfId="199" priority="523">
      <formula>$AR344=0</formula>
    </cfRule>
  </conditionalFormatting>
  <conditionalFormatting sqref="J351 J353 J355 J358 J360 J362">
    <cfRule type="expression" dxfId="198" priority="521">
      <formula>$AR351=2</formula>
    </cfRule>
  </conditionalFormatting>
  <conditionalFormatting sqref="J351 L351 J353 L353 J355 L355 J358 L358 J360 L360 J362 L362">
    <cfRule type="expression" dxfId="197" priority="520">
      <formula>$AQ351=0</formula>
    </cfRule>
  </conditionalFormatting>
  <conditionalFormatting sqref="J351 L351 J353 L353 J355 L355">
    <cfRule type="expression" dxfId="196" priority="519">
      <formula>$AR351=0</formula>
    </cfRule>
  </conditionalFormatting>
  <conditionalFormatting sqref="J358 L358 J360 L360 J362 L362">
    <cfRule type="expression" dxfId="194" priority="518">
      <formula>$AR358=0</formula>
    </cfRule>
  </conditionalFormatting>
  <conditionalFormatting sqref="J365 J367 J369 J372 J374 J376">
    <cfRule type="expression" dxfId="193" priority="516">
      <formula>$AR365=2</formula>
    </cfRule>
  </conditionalFormatting>
  <conditionalFormatting sqref="J365 L365 J367 L367 J369 L369 J372 L372 J374 L374 J376 L376">
    <cfRule type="expression" dxfId="192" priority="515">
      <formula>$AQ365=0</formula>
    </cfRule>
  </conditionalFormatting>
  <conditionalFormatting sqref="J365 L365 J367 L367 J369 L369">
    <cfRule type="expression" dxfId="191" priority="514">
      <formula>$AR365=0</formula>
    </cfRule>
  </conditionalFormatting>
  <conditionalFormatting sqref="J372 L372 J374 L374 J376 L376">
    <cfRule type="expression" dxfId="189" priority="513">
      <formula>$AR372=0</formula>
    </cfRule>
  </conditionalFormatting>
  <conditionalFormatting sqref="J379 J381 J383 J386 J388 J390">
    <cfRule type="expression" dxfId="188" priority="511">
      <formula>$AR379=2</formula>
    </cfRule>
  </conditionalFormatting>
  <conditionalFormatting sqref="J379 L379 J381 L381 J383 L383 J386 L386 J388 L388 J390 L390">
    <cfRule type="expression" dxfId="187" priority="510">
      <formula>$AQ379=0</formula>
    </cfRule>
  </conditionalFormatting>
  <conditionalFormatting sqref="J379 L379 J381 L381 J383 L383">
    <cfRule type="expression" dxfId="186" priority="509">
      <formula>$AR379=0</formula>
    </cfRule>
  </conditionalFormatting>
  <conditionalFormatting sqref="J386 L386 J388 L388 J390 L390">
    <cfRule type="expression" dxfId="184" priority="508">
      <formula>$AR386=0</formula>
    </cfRule>
  </conditionalFormatting>
  <conditionalFormatting sqref="J393 J395 J397 J400 J402 J404">
    <cfRule type="expression" dxfId="183" priority="506">
      <formula>$AR393=2</formula>
    </cfRule>
  </conditionalFormatting>
  <conditionalFormatting sqref="J393 L393 J395 L395 J397 L397 J400 L400 J402 L402 J404 L404">
    <cfRule type="expression" dxfId="182" priority="505">
      <formula>$AQ393=0</formula>
    </cfRule>
  </conditionalFormatting>
  <conditionalFormatting sqref="J393 L393 J395 L395 J397 L397">
    <cfRule type="expression" dxfId="181" priority="504">
      <formula>$AR393=0</formula>
    </cfRule>
  </conditionalFormatting>
  <conditionalFormatting sqref="J400 L400 J402 L402 J404 L404">
    <cfRule type="expression" dxfId="179" priority="503">
      <formula>$AR400=0</formula>
    </cfRule>
  </conditionalFormatting>
  <conditionalFormatting sqref="J407 J409 J411 J414 J416 J418">
    <cfRule type="expression" dxfId="178" priority="501">
      <formula>$AR407=2</formula>
    </cfRule>
  </conditionalFormatting>
  <conditionalFormatting sqref="J407 L407 J409 L409 J411 L411 J414 L414 J416 L416 J418 L418">
    <cfRule type="expression" dxfId="177" priority="500">
      <formula>$AQ407=0</formula>
    </cfRule>
  </conditionalFormatting>
  <conditionalFormatting sqref="J407 L407 J409 L409 J411 L411">
    <cfRule type="expression" dxfId="176" priority="499">
      <formula>$AR407=0</formula>
    </cfRule>
  </conditionalFormatting>
  <conditionalFormatting sqref="J414 L414 J416 L416 J418 L418">
    <cfRule type="expression" dxfId="174" priority="498">
      <formula>$AR414=0</formula>
    </cfRule>
  </conditionalFormatting>
  <conditionalFormatting sqref="J421 J423 J425 J428 J430 J432">
    <cfRule type="expression" dxfId="173" priority="496">
      <formula>$AR421=2</formula>
    </cfRule>
  </conditionalFormatting>
  <conditionalFormatting sqref="J421 L421 J423 L423 J425 L425 J428 L428 J430 L430 J432 L432">
    <cfRule type="expression" dxfId="172" priority="495">
      <formula>$AQ421=0</formula>
    </cfRule>
  </conditionalFormatting>
  <conditionalFormatting sqref="J421 L421 J423 L423 J425 L425">
    <cfRule type="expression" dxfId="171" priority="494">
      <formula>$AR421=0</formula>
    </cfRule>
  </conditionalFormatting>
  <conditionalFormatting sqref="J428 L428 J430 L430 J432 L432">
    <cfRule type="expression" dxfId="169" priority="493">
      <formula>$AR428=0</formula>
    </cfRule>
  </conditionalFormatting>
  <conditionalFormatting sqref="J435 J437 J439 J442 J444 J446">
    <cfRule type="expression" dxfId="168" priority="491">
      <formula>$AR435=2</formula>
    </cfRule>
  </conditionalFormatting>
  <conditionalFormatting sqref="J435 L435 J437 L437 J439 L439 J442 L442 J444 L444 J446 L446">
    <cfRule type="expression" dxfId="167" priority="490">
      <formula>$AQ435=0</formula>
    </cfRule>
  </conditionalFormatting>
  <conditionalFormatting sqref="J435 L435 J437 L437 J439 L439">
    <cfRule type="expression" dxfId="166" priority="489">
      <formula>$AR435=0</formula>
    </cfRule>
  </conditionalFormatting>
  <conditionalFormatting sqref="J442 L442 J444 L444 J446 L446">
    <cfRule type="expression" dxfId="164" priority="488">
      <formula>$AR442=0</formula>
    </cfRule>
  </conditionalFormatting>
  <conditionalFormatting sqref="J449 J451 J453 J456 J458 J460">
    <cfRule type="expression" dxfId="163" priority="486">
      <formula>$AR449=2</formula>
    </cfRule>
  </conditionalFormatting>
  <conditionalFormatting sqref="J449 L449 J451 L451 J453 L453 J456 L456 J458 L458 J460 L460">
    <cfRule type="expression" dxfId="162" priority="485">
      <formula>$AQ449=0</formula>
    </cfRule>
  </conditionalFormatting>
  <conditionalFormatting sqref="J449 L449 J451 L451 J453 L453">
    <cfRule type="expression" dxfId="161" priority="484">
      <formula>$AR449=0</formula>
    </cfRule>
  </conditionalFormatting>
  <conditionalFormatting sqref="J456 L456 J458 L458 J460 L460">
    <cfRule type="expression" dxfId="159" priority="483">
      <formula>$AR456=0</formula>
    </cfRule>
  </conditionalFormatting>
  <conditionalFormatting sqref="J463 J465 J467 J470 J472 J474">
    <cfRule type="expression" dxfId="158" priority="481">
      <formula>$AR463=2</formula>
    </cfRule>
  </conditionalFormatting>
  <conditionalFormatting sqref="J463 L463 J465 L465 J467 L467 J470 L470 J472 L472 J474 L474">
    <cfRule type="expression" dxfId="157" priority="480">
      <formula>$AQ463=0</formula>
    </cfRule>
  </conditionalFormatting>
  <conditionalFormatting sqref="J463 L463 J465 L465 J467 L467">
    <cfRule type="expression" dxfId="156" priority="479">
      <formula>$AR463=0</formula>
    </cfRule>
  </conditionalFormatting>
  <conditionalFormatting sqref="J470 L470 J472 L472 J474 L474">
    <cfRule type="expression" dxfId="154" priority="478">
      <formula>$AR470=0</formula>
    </cfRule>
  </conditionalFormatting>
  <conditionalFormatting sqref="J477 J479 J481 J484 J486 J488">
    <cfRule type="expression" dxfId="153" priority="476">
      <formula>$AR477=2</formula>
    </cfRule>
  </conditionalFormatting>
  <conditionalFormatting sqref="J477 L477 J479 L479 J481 L481 J484 L484 J486 L486 J488 L488">
    <cfRule type="expression" dxfId="152" priority="475">
      <formula>$AQ477=0</formula>
    </cfRule>
  </conditionalFormatting>
  <conditionalFormatting sqref="J477 L477 J479 L479 J481 L481">
    <cfRule type="expression" dxfId="151" priority="474">
      <formula>$AR477=0</formula>
    </cfRule>
  </conditionalFormatting>
  <conditionalFormatting sqref="J484 L484 J486 L486 J488 L488">
    <cfRule type="expression" dxfId="149" priority="473">
      <formula>$AR484=0</formula>
    </cfRule>
  </conditionalFormatting>
  <conditionalFormatting sqref="J491 J493 J495 J498 J500 J502">
    <cfRule type="expression" dxfId="148" priority="471">
      <formula>$AR491=2</formula>
    </cfRule>
  </conditionalFormatting>
  <conditionalFormatting sqref="J491 L491 J493 L493 J495 L495 J498 L498 J500 L500 J502 L502">
    <cfRule type="expression" dxfId="147" priority="470">
      <formula>$AQ491=0</formula>
    </cfRule>
  </conditionalFormatting>
  <conditionalFormatting sqref="J491 L491 J493 L493 J495 L495">
    <cfRule type="expression" dxfId="146" priority="469">
      <formula>$AR491=0</formula>
    </cfRule>
  </conditionalFormatting>
  <conditionalFormatting sqref="J498 L498 J500 L500 J502 L502">
    <cfRule type="expression" dxfId="144" priority="468">
      <formula>$AR498=0</formula>
    </cfRule>
  </conditionalFormatting>
  <conditionalFormatting sqref="J505 J507 J509 J512 J514 J516">
    <cfRule type="expression" dxfId="143" priority="466">
      <formula>$AR505=2</formula>
    </cfRule>
  </conditionalFormatting>
  <conditionalFormatting sqref="J505 L505 J507 L507 J509 L509 J512 L512 J514 L514 J516 L516">
    <cfRule type="expression" dxfId="142" priority="465">
      <formula>$AQ505=0</formula>
    </cfRule>
  </conditionalFormatting>
  <conditionalFormatting sqref="J505 L505 J507 L507 J509 L509">
    <cfRule type="expression" dxfId="141" priority="464">
      <formula>$AR505=0</formula>
    </cfRule>
  </conditionalFormatting>
  <conditionalFormatting sqref="J512 L512 J514 L514 J516 L516">
    <cfRule type="expression" dxfId="139" priority="463">
      <formula>$AR512=0</formula>
    </cfRule>
  </conditionalFormatting>
  <conditionalFormatting sqref="J519 J521 J523 J526 J528 J530">
    <cfRule type="expression" dxfId="138" priority="461">
      <formula>$AR519=2</formula>
    </cfRule>
  </conditionalFormatting>
  <conditionalFormatting sqref="J519 L519 J521 L521 J523 L523 J526 L526 J528 L528 J530 L530">
    <cfRule type="expression" dxfId="137" priority="460">
      <formula>$AQ519=0</formula>
    </cfRule>
  </conditionalFormatting>
  <conditionalFormatting sqref="J519 L519 J521 L521 J523 L523">
    <cfRule type="expression" dxfId="136" priority="459">
      <formula>$AR519=0</formula>
    </cfRule>
  </conditionalFormatting>
  <conditionalFormatting sqref="J526 L526 J528 L528 J530 L530">
    <cfRule type="expression" dxfId="134" priority="458">
      <formula>$AR526=0</formula>
    </cfRule>
  </conditionalFormatting>
  <conditionalFormatting sqref="L23:L79 N23:N79">
    <cfRule type="expression" dxfId="133" priority="926">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132" priority="841">
      <formula>AND($E323="１台目",$L323&lt;&gt;"",$L323&lt;&gt;0,$R323&lt;3000)</formula>
    </cfRule>
  </conditionalFormatting>
  <conditionalFormatting sqref="L323">
    <cfRule type="expression" dxfId="131" priority="391">
      <formula>$AS$323=1</formula>
    </cfRule>
  </conditionalFormatting>
  <conditionalFormatting sqref="L325">
    <cfRule type="expression" dxfId="130" priority="390">
      <formula>$AS$325=1</formula>
    </cfRule>
  </conditionalFormatting>
  <conditionalFormatting sqref="L330">
    <cfRule type="expression" dxfId="128" priority="389">
      <formula>$AS$330=1</formula>
    </cfRule>
  </conditionalFormatting>
  <conditionalFormatting sqref="L332">
    <cfRule type="expression" dxfId="127" priority="388">
      <formula>$AS$332=1</formula>
    </cfRule>
  </conditionalFormatting>
  <conditionalFormatting sqref="L334">
    <cfRule type="expression" dxfId="126" priority="387">
      <formula>$AS$334=1</formula>
    </cfRule>
  </conditionalFormatting>
  <conditionalFormatting sqref="L337">
    <cfRule type="expression" dxfId="125" priority="386">
      <formula>$AS$337=1</formula>
    </cfRule>
  </conditionalFormatting>
  <conditionalFormatting sqref="L339">
    <cfRule type="expression" dxfId="124" priority="385">
      <formula>$AS$339=1</formula>
    </cfRule>
  </conditionalFormatting>
  <conditionalFormatting sqref="L341">
    <cfRule type="expression" dxfId="123" priority="384">
      <formula>$AS$341=1</formula>
    </cfRule>
  </conditionalFormatting>
  <conditionalFormatting sqref="L344">
    <cfRule type="expression" dxfId="122" priority="383">
      <formula>$AS$344=1</formula>
    </cfRule>
  </conditionalFormatting>
  <conditionalFormatting sqref="L346">
    <cfRule type="expression" dxfId="121" priority="382">
      <formula>$AS$346=1</formula>
    </cfRule>
  </conditionalFormatting>
  <conditionalFormatting sqref="L348">
    <cfRule type="expression" dxfId="120" priority="381">
      <formula>$AS$348=1</formula>
    </cfRule>
  </conditionalFormatting>
  <conditionalFormatting sqref="L351">
    <cfRule type="expression" dxfId="119" priority="380">
      <formula>$AS$351=1</formula>
    </cfRule>
  </conditionalFormatting>
  <conditionalFormatting sqref="L353">
    <cfRule type="expression" dxfId="118" priority="379">
      <formula>$AS$353=1</formula>
    </cfRule>
  </conditionalFormatting>
  <conditionalFormatting sqref="L355">
    <cfRule type="expression" dxfId="117" priority="378">
      <formula>$AS$355=1</formula>
    </cfRule>
  </conditionalFormatting>
  <conditionalFormatting sqref="L358">
    <cfRule type="expression" dxfId="116" priority="377">
      <formula>$AS$358=1</formula>
    </cfRule>
  </conditionalFormatting>
  <conditionalFormatting sqref="L360">
    <cfRule type="expression" dxfId="115" priority="376">
      <formula>$AS$360=1</formula>
    </cfRule>
  </conditionalFormatting>
  <conditionalFormatting sqref="L362">
    <cfRule type="expression" dxfId="114" priority="375">
      <formula>$AS$362=1</formula>
    </cfRule>
  </conditionalFormatting>
  <conditionalFormatting sqref="L365">
    <cfRule type="expression" dxfId="113" priority="374">
      <formula>$AS$365=1</formula>
    </cfRule>
  </conditionalFormatting>
  <conditionalFormatting sqref="L367">
    <cfRule type="expression" dxfId="112" priority="373">
      <formula>$AS$367=1</formula>
    </cfRule>
  </conditionalFormatting>
  <conditionalFormatting sqref="L369">
    <cfRule type="expression" dxfId="111" priority="372">
      <formula>$AS$369=1</formula>
    </cfRule>
  </conditionalFormatting>
  <conditionalFormatting sqref="L372">
    <cfRule type="expression" dxfId="110" priority="371">
      <formula>$AS$372=1</formula>
    </cfRule>
  </conditionalFormatting>
  <conditionalFormatting sqref="L374">
    <cfRule type="expression" dxfId="109" priority="370">
      <formula>$AS$374=1</formula>
    </cfRule>
  </conditionalFormatting>
  <conditionalFormatting sqref="L376">
    <cfRule type="expression" dxfId="108" priority="369">
      <formula>$AS$376=1</formula>
    </cfRule>
  </conditionalFormatting>
  <conditionalFormatting sqref="L379">
    <cfRule type="expression" dxfId="107" priority="368">
      <formula>$AS$379=1</formula>
    </cfRule>
  </conditionalFormatting>
  <conditionalFormatting sqref="L381">
    <cfRule type="expression" dxfId="106" priority="367">
      <formula>$AS$381=1</formula>
    </cfRule>
  </conditionalFormatting>
  <conditionalFormatting sqref="L383">
    <cfRule type="expression" dxfId="105" priority="366">
      <formula>$AS$383=1</formula>
    </cfRule>
  </conditionalFormatting>
  <conditionalFormatting sqref="L386">
    <cfRule type="expression" dxfId="104" priority="365">
      <formula>$AS$386=1</formula>
    </cfRule>
  </conditionalFormatting>
  <conditionalFormatting sqref="L388">
    <cfRule type="expression" dxfId="103" priority="364">
      <formula>$AS$388=1</formula>
    </cfRule>
  </conditionalFormatting>
  <conditionalFormatting sqref="L390">
    <cfRule type="expression" dxfId="102" priority="363">
      <formula>$AS$390=1</formula>
    </cfRule>
  </conditionalFormatting>
  <conditionalFormatting sqref="L393">
    <cfRule type="expression" dxfId="101" priority="362">
      <formula>$AS$393=1</formula>
    </cfRule>
  </conditionalFormatting>
  <conditionalFormatting sqref="L395">
    <cfRule type="expression" dxfId="100" priority="361">
      <formula>$AS$395=1</formula>
    </cfRule>
  </conditionalFormatting>
  <conditionalFormatting sqref="L397">
    <cfRule type="expression" dxfId="99" priority="360">
      <formula>$AS$397=1</formula>
    </cfRule>
  </conditionalFormatting>
  <conditionalFormatting sqref="L400">
    <cfRule type="expression" dxfId="98" priority="359">
      <formula>$AS$400=1</formula>
    </cfRule>
  </conditionalFormatting>
  <conditionalFormatting sqref="L402">
    <cfRule type="expression" dxfId="97" priority="358">
      <formula>$AS$402=1</formula>
    </cfRule>
  </conditionalFormatting>
  <conditionalFormatting sqref="L404">
    <cfRule type="expression" dxfId="96" priority="357">
      <formula>$AS$404=1</formula>
    </cfRule>
  </conditionalFormatting>
  <conditionalFormatting sqref="L407">
    <cfRule type="expression" dxfId="95" priority="356">
      <formula>$AS$407=1</formula>
    </cfRule>
  </conditionalFormatting>
  <conditionalFormatting sqref="L409">
    <cfRule type="expression" dxfId="94" priority="355">
      <formula>$AS$409=1</formula>
    </cfRule>
  </conditionalFormatting>
  <conditionalFormatting sqref="L411">
    <cfRule type="expression" dxfId="93" priority="354">
      <formula>$AS$411=1</formula>
    </cfRule>
  </conditionalFormatting>
  <conditionalFormatting sqref="L414">
    <cfRule type="expression" dxfId="92" priority="353">
      <formula>$AS$414=1</formula>
    </cfRule>
  </conditionalFormatting>
  <conditionalFormatting sqref="L416">
    <cfRule type="expression" dxfId="91" priority="352">
      <formula>$AS$416</formula>
    </cfRule>
  </conditionalFormatting>
  <conditionalFormatting sqref="L418">
    <cfRule type="expression" dxfId="90" priority="351">
      <formula>$AS$418=1</formula>
    </cfRule>
  </conditionalFormatting>
  <conditionalFormatting sqref="L421">
    <cfRule type="expression" dxfId="89" priority="350">
      <formula>$AS$421=1</formula>
    </cfRule>
  </conditionalFormatting>
  <conditionalFormatting sqref="L423">
    <cfRule type="expression" dxfId="88" priority="349">
      <formula>$AS$423=1</formula>
    </cfRule>
  </conditionalFormatting>
  <conditionalFormatting sqref="L425">
    <cfRule type="expression" dxfId="87" priority="348">
      <formula>$AS$425=1</formula>
    </cfRule>
  </conditionalFormatting>
  <conditionalFormatting sqref="L428">
    <cfRule type="expression" dxfId="86" priority="347">
      <formula>$AS$428=1</formula>
    </cfRule>
  </conditionalFormatting>
  <conditionalFormatting sqref="L430">
    <cfRule type="expression" dxfId="85" priority="346">
      <formula>$AS$430=1</formula>
    </cfRule>
  </conditionalFormatting>
  <conditionalFormatting sqref="L432">
    <cfRule type="expression" dxfId="84" priority="345">
      <formula>$AS$432=1</formula>
    </cfRule>
  </conditionalFormatting>
  <conditionalFormatting sqref="L435">
    <cfRule type="expression" dxfId="83" priority="344">
      <formula>$AS$435=1</formula>
    </cfRule>
  </conditionalFormatting>
  <conditionalFormatting sqref="L437">
    <cfRule type="expression" dxfId="82" priority="343">
      <formula>$AS$437=1</formula>
    </cfRule>
  </conditionalFormatting>
  <conditionalFormatting sqref="L439">
    <cfRule type="expression" dxfId="81" priority="342">
      <formula>$AS$439=1</formula>
    </cfRule>
  </conditionalFormatting>
  <conditionalFormatting sqref="L442">
    <cfRule type="expression" dxfId="80" priority="341">
      <formula>$AS$442=1</formula>
    </cfRule>
  </conditionalFormatting>
  <conditionalFormatting sqref="L444">
    <cfRule type="expression" dxfId="79" priority="340">
      <formula>$AS$444=1</formula>
    </cfRule>
  </conditionalFormatting>
  <conditionalFormatting sqref="L446">
    <cfRule type="expression" dxfId="78" priority="339">
      <formula>$AS$446=1</formula>
    </cfRule>
  </conditionalFormatting>
  <conditionalFormatting sqref="L449">
    <cfRule type="expression" dxfId="77" priority="338">
      <formula>$AS$449=1</formula>
    </cfRule>
  </conditionalFormatting>
  <conditionalFormatting sqref="L451">
    <cfRule type="expression" dxfId="76" priority="337">
      <formula>$AS$451=1</formula>
    </cfRule>
  </conditionalFormatting>
  <conditionalFormatting sqref="L453">
    <cfRule type="expression" dxfId="75" priority="336">
      <formula>$AS$453=1</formula>
    </cfRule>
  </conditionalFormatting>
  <conditionalFormatting sqref="L456">
    <cfRule type="expression" dxfId="74" priority="335">
      <formula>$AS$456=1</formula>
    </cfRule>
  </conditionalFormatting>
  <conditionalFormatting sqref="L458">
    <cfRule type="expression" dxfId="73" priority="334">
      <formula>$AS$458=1</formula>
    </cfRule>
  </conditionalFormatting>
  <conditionalFormatting sqref="L460">
    <cfRule type="expression" dxfId="72" priority="333">
      <formula>$AS$460=1</formula>
    </cfRule>
  </conditionalFormatting>
  <conditionalFormatting sqref="L463">
    <cfRule type="expression" dxfId="71" priority="332">
      <formula>$AS$463=1</formula>
    </cfRule>
  </conditionalFormatting>
  <conditionalFormatting sqref="L465">
    <cfRule type="expression" dxfId="70" priority="331">
      <formula>$AS$465=1</formula>
    </cfRule>
  </conditionalFormatting>
  <conditionalFormatting sqref="L467">
    <cfRule type="expression" dxfId="69" priority="330">
      <formula>$AS$467=1</formula>
    </cfRule>
  </conditionalFormatting>
  <conditionalFormatting sqref="L470">
    <cfRule type="expression" dxfId="68" priority="329">
      <formula>$AS$470=1</formula>
    </cfRule>
  </conditionalFormatting>
  <conditionalFormatting sqref="L472">
    <cfRule type="expression" dxfId="67" priority="328">
      <formula>$AS$472=1</formula>
    </cfRule>
  </conditionalFormatting>
  <conditionalFormatting sqref="L474">
    <cfRule type="expression" dxfId="66" priority="327">
      <formula>$AS$474=1</formula>
    </cfRule>
  </conditionalFormatting>
  <conditionalFormatting sqref="L477">
    <cfRule type="expression" dxfId="65" priority="326">
      <formula>$AS$477=1</formula>
    </cfRule>
  </conditionalFormatting>
  <conditionalFormatting sqref="L479">
    <cfRule type="expression" dxfId="64" priority="325">
      <formula>$AS$479=1</formula>
    </cfRule>
  </conditionalFormatting>
  <conditionalFormatting sqref="L481">
    <cfRule type="expression" dxfId="63" priority="324">
      <formula>$AS$481=1</formula>
    </cfRule>
  </conditionalFormatting>
  <conditionalFormatting sqref="L484">
    <cfRule type="expression" dxfId="62" priority="323">
      <formula>$AS$484=1</formula>
    </cfRule>
  </conditionalFormatting>
  <conditionalFormatting sqref="L486">
    <cfRule type="expression" dxfId="61" priority="322">
      <formula>$AS$486=1</formula>
    </cfRule>
  </conditionalFormatting>
  <conditionalFormatting sqref="L488">
    <cfRule type="expression" dxfId="60" priority="321">
      <formula>$AS$488=1</formula>
    </cfRule>
  </conditionalFormatting>
  <conditionalFormatting sqref="L491">
    <cfRule type="expression" dxfId="59" priority="320">
      <formula>$AS$491=1</formula>
    </cfRule>
  </conditionalFormatting>
  <conditionalFormatting sqref="L493">
    <cfRule type="expression" dxfId="58" priority="319">
      <formula>$AS$493=1</formula>
    </cfRule>
  </conditionalFormatting>
  <conditionalFormatting sqref="L495">
    <cfRule type="expression" dxfId="57" priority="318">
      <formula>$AS$495=1</formula>
    </cfRule>
  </conditionalFormatting>
  <conditionalFormatting sqref="L498">
    <cfRule type="expression" dxfId="56" priority="317">
      <formula>$AS$498=1</formula>
    </cfRule>
  </conditionalFormatting>
  <conditionalFormatting sqref="L500">
    <cfRule type="expression" dxfId="55" priority="316">
      <formula>$AS$500=1</formula>
    </cfRule>
  </conditionalFormatting>
  <conditionalFormatting sqref="L502">
    <cfRule type="expression" dxfId="54" priority="315">
      <formula>$AS$502=1</formula>
    </cfRule>
  </conditionalFormatting>
  <conditionalFormatting sqref="L505">
    <cfRule type="expression" dxfId="53" priority="314">
      <formula>$AS$505=1</formula>
    </cfRule>
  </conditionalFormatting>
  <conditionalFormatting sqref="L507">
    <cfRule type="expression" dxfId="52" priority="313">
      <formula>$AS$507=1</formula>
    </cfRule>
  </conditionalFormatting>
  <conditionalFormatting sqref="L509">
    <cfRule type="expression" dxfId="51" priority="312">
      <formula>$AS$509=1</formula>
    </cfRule>
  </conditionalFormatting>
  <conditionalFormatting sqref="L512">
    <cfRule type="expression" dxfId="50" priority="311">
      <formula>$AS$512=1</formula>
    </cfRule>
  </conditionalFormatting>
  <conditionalFormatting sqref="L514">
    <cfRule type="expression" dxfId="49" priority="310">
      <formula>$AS$514=1</formula>
    </cfRule>
  </conditionalFormatting>
  <conditionalFormatting sqref="L516">
    <cfRule type="expression" dxfId="48" priority="309">
      <formula>$AS$516=1</formula>
    </cfRule>
  </conditionalFormatting>
  <conditionalFormatting sqref="L519">
    <cfRule type="expression" dxfId="47" priority="308">
      <formula>$AS$519=1</formula>
    </cfRule>
  </conditionalFormatting>
  <conditionalFormatting sqref="L521">
    <cfRule type="expression" dxfId="46" priority="307">
      <formula>$AS$521=1</formula>
    </cfRule>
  </conditionalFormatting>
  <conditionalFormatting sqref="L523">
    <cfRule type="expression" dxfId="45" priority="306">
      <formula>$AS$523=1</formula>
    </cfRule>
  </conditionalFormatting>
  <conditionalFormatting sqref="L526">
    <cfRule type="expression" dxfId="44" priority="305">
      <formula>$AS$526=1</formula>
    </cfRule>
  </conditionalFormatting>
  <conditionalFormatting sqref="L528">
    <cfRule type="expression" dxfId="43" priority="304">
      <formula>$AS$528=1</formula>
    </cfRule>
  </conditionalFormatting>
  <conditionalFormatting sqref="L530">
    <cfRule type="expression" dxfId="42" priority="303">
      <formula>$AS$530=1</formula>
    </cfRule>
  </conditionalFormatting>
  <conditionalFormatting sqref="N329:N334">
    <cfRule type="expression" dxfId="41" priority="33">
      <formula>$P329&lt;$R329</formula>
    </cfRule>
  </conditionalFormatting>
  <conditionalFormatting sqref="N344:N348">
    <cfRule type="expression" dxfId="40" priority="31">
      <formula>$P344&lt;$R344</formula>
    </cfRule>
  </conditionalFormatting>
  <conditionalFormatting sqref="N358:N362">
    <cfRule type="expression" dxfId="39" priority="29">
      <formula>$P358&lt;$R358</formula>
    </cfRule>
  </conditionalFormatting>
  <conditionalFormatting sqref="N372:N376">
    <cfRule type="expression" dxfId="38" priority="27">
      <formula>$P372&lt;$R372</formula>
    </cfRule>
  </conditionalFormatting>
  <conditionalFormatting sqref="N386:N390">
    <cfRule type="expression" dxfId="37" priority="25">
      <formula>$P386&lt;$R386</formula>
    </cfRule>
  </conditionalFormatting>
  <conditionalFormatting sqref="N400:N404">
    <cfRule type="expression" dxfId="36" priority="23">
      <formula>$P400&lt;$R400</formula>
    </cfRule>
  </conditionalFormatting>
  <conditionalFormatting sqref="N414:N418">
    <cfRule type="expression" dxfId="35" priority="21">
      <formula>$P414&lt;$R414</formula>
    </cfRule>
  </conditionalFormatting>
  <conditionalFormatting sqref="N428:N432">
    <cfRule type="expression" dxfId="34" priority="19">
      <formula>$P428&lt;$R428</formula>
    </cfRule>
  </conditionalFormatting>
  <conditionalFormatting sqref="N442:N446">
    <cfRule type="expression" dxfId="33" priority="17">
      <formula>$P442&lt;$R442</formula>
    </cfRule>
  </conditionalFormatting>
  <conditionalFormatting sqref="N456:N460">
    <cfRule type="expression" dxfId="32" priority="15">
      <formula>$P456&lt;$R456</formula>
    </cfRule>
  </conditionalFormatting>
  <conditionalFormatting sqref="N470:N474">
    <cfRule type="expression" dxfId="31" priority="13">
      <formula>$P470&lt;$R470</formula>
    </cfRule>
  </conditionalFormatting>
  <conditionalFormatting sqref="N484:N488">
    <cfRule type="expression" dxfId="30" priority="11">
      <formula>$P484&lt;$R484</formula>
    </cfRule>
  </conditionalFormatting>
  <conditionalFormatting sqref="N498:N502">
    <cfRule type="expression" dxfId="29" priority="9">
      <formula>$P498&lt;$R498</formula>
    </cfRule>
  </conditionalFormatting>
  <conditionalFormatting sqref="N512:N516">
    <cfRule type="expression" dxfId="28" priority="7">
      <formula>$P512&lt;$R512</formula>
    </cfRule>
  </conditionalFormatting>
  <conditionalFormatting sqref="N526:N530">
    <cfRule type="expression" dxfId="27" priority="5">
      <formula>$P526&lt;$R526</formula>
    </cfRule>
  </conditionalFormatting>
  <conditionalFormatting sqref="P23:P79">
    <cfRule type="expression" dxfId="26" priority="928">
      <formula>OR(AND($P23="",0&lt;COUNTIF($R23:$Z23,"&lt;&gt;")),AND($P23&lt;&gt;"",$AK23&lt;&gt;"OK"))</formula>
    </cfRule>
  </conditionalFormatting>
  <conditionalFormatting sqref="P323:P531 R323:R531">
    <cfRule type="expression" dxfId="25" priority="526">
      <formula>$P323&lt;$R323</formula>
    </cfRule>
  </conditionalFormatting>
  <conditionalFormatting sqref="R23:T79">
    <cfRule type="expression" dxfId="11" priority="929">
      <formula>OR(AND($R23="",0&lt;COUNTIF($V23:$Z23,"&lt;&gt;")),AND($R23&lt;&gt;"",$AL23&lt;&gt;"OK"))</formula>
    </cfRule>
  </conditionalFormatting>
  <conditionalFormatting sqref="V23:X79">
    <cfRule type="expression" dxfId="10" priority="930">
      <formula>OR(AND($V23="",$Z23&lt;&gt;""),AND($V23&lt;&gt;"",$AM23&lt;&gt;"OK"))</formula>
    </cfRule>
  </conditionalFormatting>
  <conditionalFormatting sqref="AA1">
    <cfRule type="notContainsText" dxfId="9" priority="1" operator="notContains" text="OK">
      <formula>ISERROR(SEARCH("OK",AA1))</formula>
    </cfRule>
    <cfRule type="containsText" dxfId="8" priority="2" operator="containsText" text="OK">
      <formula>NOT(ISERROR(SEARCH("OK",AA1)))</formula>
    </cfRule>
  </conditionalFormatting>
  <conditionalFormatting sqref="AA90:AA93">
    <cfRule type="notContainsText" dxfId="7" priority="402" operator="notContains" text="OK">
      <formula>ISERROR(SEARCH("OK",AA90))</formula>
    </cfRule>
    <cfRule type="containsText" dxfId="6" priority="403" operator="containsText" text="OK">
      <formula>NOT(ISERROR(SEARCH("OK",AA90)))</formula>
    </cfRule>
  </conditionalFormatting>
  <conditionalFormatting sqref="AT2:AT14 AH15:AH82 AT83:AT89 X84:X89 X94 AT94:AT1048576 X307:X308 X535">
    <cfRule type="containsText" dxfId="5" priority="632" operator="containsText" text="OK">
      <formula>NOT(ISERROR(SEARCH("OK",X2)))</formula>
    </cfRule>
  </conditionalFormatting>
  <conditionalFormatting sqref="AT2:AT14 AH15:AH82 AT83:AT89 X84:X89 X94:X104 AT94:AT1048576 X106:X535">
    <cfRule type="notContainsText" dxfId="4" priority="4" operator="notContains" text="OK">
      <formula>ISERROR(SEARCH("OK",X2))</formula>
    </cfRule>
    <cfRule type="containsText" dxfId="3" priority="3" operator="containsText" text="OK">
      <formula>NOT(ISERROR(SEARCH("OK",X2)))</formula>
    </cfRule>
  </conditionalFormatting>
  <dataValidations count="4">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00000000-0002-0000-0100-000001000000}"/>
    <dataValidation type="custom" imeMode="disabled" operator="equal" allowBlank="1" showInputMessage="1" showErrorMessage="1" errorTitle="郵便番号" error="3桁の数字を入力してください。" sqref="L23:L79" xr:uid="{00000000-0002-0000-0100-000002000000}">
      <formula1>AND(0&lt;VALUE(L23),LEN(L23)=3)</formula1>
    </dataValidation>
    <dataValidation type="custom" imeMode="disabled" operator="equal" allowBlank="1" showInputMessage="1" showErrorMessage="1" errorTitle="郵便番号" error="4桁の数字を入力してください。" sqref="N23:N79" xr:uid="{00000000-0002-0000-0100-000003000000}">
      <formula1>AND(0&lt;=VALUE(N23),LEN(N23)=4)</formula1>
    </dataValidation>
    <dataValidation type="whole" operator="greaterThan" allowBlank="1" showErrorMessage="1" prompt="補助対象機器一覧の形態番号が③の機器のみ入力可能です。" sqref="N517:N518 N335:N336 N349:N350 N363:N364 N377:N378 N391:N392 N405:N406 N419:N420 N433:N434 N447:N448 N461:N462 N475:N476 N489:N490 N503:N504 N342:N343 N356:N357 N370:N371 N384:N385 N398:N399 N412:N413 N426:N427 N440:N441 N454:N455 N468:N469 N482:N483 N496:N497 N510:N511 N524:N525 N531" xr:uid="{00000000-0002-0000-0100-000004000000}">
      <formula1>1</formula1>
    </dataValidation>
  </dataValidations>
  <hyperlinks>
    <hyperlink ref="D7" location="'入力シート（2事業場以降）'!E21" display="５-１事業場の情報を入力する▼（ジャンプします）" xr:uid="{00000000-0004-0000-0100-000000000000}"/>
    <hyperlink ref="D9" location="'入力シート（2事業場以降）'!E139" display="５-２補助対象機器の情報を入力▼（ジャンプします）" xr:uid="{00000000-0004-0000-0100-000001000000}"/>
    <hyperlink ref="D11:L11" location="'入力シート（2事業場以降）'!F330" display="２-３機器の金額を入力する▼（ジャンプします）" xr:uid="{00000000-0004-0000-0100-000002000000}"/>
    <hyperlink ref="D9:L9" location="'入力シート（2事業場以降）'!F102" display="２-２補助対象機器の情報を入力する▼（ジャンプします）" xr:uid="{00000000-0004-0000-0100-000003000000}"/>
    <hyperlink ref="T533:V533" location="'入力シート（2事業場以降）'!D7" display="上へ戻る▲（ジャンプします）" xr:uid="{00000000-0004-0000-0100-000004000000}"/>
    <hyperlink ref="T305:V305" location="'入力シート（2事業場以降）'!D7" display="上へ戻る▲（ジャンプします）" xr:uid="{00000000-0004-0000-0100-000005000000}"/>
    <hyperlink ref="D7:L7" location="'入力シート（2事業場以降）'!F23" display="５-１事業場の情報を入力する▼（ジャンプします）" xr:uid="{00000000-0004-0000-0100-000006000000}"/>
    <hyperlink ref="Z81:AB81" location="'入力シート（2事業場以降）'!D7" display="上へ戻る▲（ジャンプします）" xr:uid="{00000000-0004-0000-0100-000007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840" id="{72749888-FE30-4392-A931-3A7B78D081AD}">
            <xm:f>入力シート!$F$22&lt;$B330</xm:f>
            <x14:dxf>
              <fill>
                <patternFill>
                  <bgColor theme="1" tint="0.499984740745262"/>
                </patternFill>
              </fill>
            </x14:dxf>
          </x14:cfRule>
          <xm:sqref>F330:H330</xm:sqref>
        </x14:conditionalFormatting>
        <x14:conditionalFormatting xmlns:xm="http://schemas.microsoft.com/office/excel/2006/main">
          <x14:cfRule type="expression" priority="700" id="{01A8A797-EBBB-4A44-BAE5-1E85CA2CE769}">
            <xm:f>入力シート!$F$22&lt;$B351</xm:f>
            <x14:dxf>
              <fill>
                <patternFill>
                  <bgColor theme="1" tint="0.499984740745262"/>
                </patternFill>
              </fill>
            </x14:dxf>
          </x14:cfRule>
          <xm:sqref>F351:H351</xm:sqref>
        </x14:conditionalFormatting>
        <x14:conditionalFormatting xmlns:xm="http://schemas.microsoft.com/office/excel/2006/main">
          <x14:cfRule type="expression" priority="697" id="{CE8505BE-D218-4CE6-8A9D-2F68C86C8C37}">
            <xm:f>入力シート!$F$22&lt;$B365</xm:f>
            <x14:dxf>
              <fill>
                <patternFill>
                  <bgColor theme="1" tint="0.499984740745262"/>
                </patternFill>
              </fill>
            </x14:dxf>
          </x14:cfRule>
          <xm:sqref>F365:H365</xm:sqref>
        </x14:conditionalFormatting>
        <x14:conditionalFormatting xmlns:xm="http://schemas.microsoft.com/office/excel/2006/main">
          <x14:cfRule type="expression" priority="694" id="{C76D0FE5-FB31-45A2-8CF5-6F5760E32453}">
            <xm:f>入力シート!$F$22&lt;$B379</xm:f>
            <x14:dxf>
              <fill>
                <patternFill>
                  <bgColor theme="1" tint="0.499984740745262"/>
                </patternFill>
              </fill>
            </x14:dxf>
          </x14:cfRule>
          <xm:sqref>F379:H379</xm:sqref>
        </x14:conditionalFormatting>
        <x14:conditionalFormatting xmlns:xm="http://schemas.microsoft.com/office/excel/2006/main">
          <x14:cfRule type="expression" priority="691" id="{81D33CA6-5887-4A48-BA4E-8DBA71F01059}">
            <xm:f>入力シート!$F$22&lt;$B393</xm:f>
            <x14:dxf>
              <fill>
                <patternFill>
                  <bgColor theme="1" tint="0.499984740745262"/>
                </patternFill>
              </fill>
            </x14:dxf>
          </x14:cfRule>
          <xm:sqref>F393:H393</xm:sqref>
        </x14:conditionalFormatting>
        <x14:conditionalFormatting xmlns:xm="http://schemas.microsoft.com/office/excel/2006/main">
          <x14:cfRule type="expression" priority="688" id="{ADA34919-76F8-42BD-87A7-B9B19CCF111F}">
            <xm:f>入力シート!$F$22&lt;$B407</xm:f>
            <x14:dxf>
              <fill>
                <patternFill>
                  <bgColor theme="1" tint="0.499984740745262"/>
                </patternFill>
              </fill>
            </x14:dxf>
          </x14:cfRule>
          <xm:sqref>F407:H407</xm:sqref>
        </x14:conditionalFormatting>
        <x14:conditionalFormatting xmlns:xm="http://schemas.microsoft.com/office/excel/2006/main">
          <x14:cfRule type="expression" priority="685" id="{572FEA6E-5D6B-41E6-BA6A-D92861FB4CC7}">
            <xm:f>入力シート!$F$22&lt;$B421</xm:f>
            <x14:dxf>
              <fill>
                <patternFill>
                  <bgColor theme="1" tint="0.499984740745262"/>
                </patternFill>
              </fill>
            </x14:dxf>
          </x14:cfRule>
          <xm:sqref>F421:H421</xm:sqref>
        </x14:conditionalFormatting>
        <x14:conditionalFormatting xmlns:xm="http://schemas.microsoft.com/office/excel/2006/main">
          <x14:cfRule type="expression" priority="682" id="{E4B21D57-7F58-45EC-9FF2-49FD6AB1AE69}">
            <xm:f>入力シート!$F$22&lt;$B435</xm:f>
            <x14:dxf>
              <fill>
                <patternFill>
                  <bgColor theme="1" tint="0.499984740745262"/>
                </patternFill>
              </fill>
            </x14:dxf>
          </x14:cfRule>
          <xm:sqref>F435:H435</xm:sqref>
        </x14:conditionalFormatting>
        <x14:conditionalFormatting xmlns:xm="http://schemas.microsoft.com/office/excel/2006/main">
          <x14:cfRule type="expression" priority="679" id="{8E6D154B-F1B2-402E-B017-7FE49B2CC710}">
            <xm:f>入力シート!$F$22&lt;$B449</xm:f>
            <x14:dxf>
              <fill>
                <patternFill>
                  <bgColor theme="1" tint="0.499984740745262"/>
                </patternFill>
              </fill>
            </x14:dxf>
          </x14:cfRule>
          <xm:sqref>F449:H449</xm:sqref>
        </x14:conditionalFormatting>
        <x14:conditionalFormatting xmlns:xm="http://schemas.microsoft.com/office/excel/2006/main">
          <x14:cfRule type="expression" priority="676" id="{D69A7D11-CA64-4AFA-B65C-D8F87CF9C5FF}">
            <xm:f>入力シート!$F$22&lt;$B463</xm:f>
            <x14:dxf>
              <fill>
                <patternFill>
                  <bgColor theme="1" tint="0.499984740745262"/>
                </patternFill>
              </fill>
            </x14:dxf>
          </x14:cfRule>
          <xm:sqref>F463:H463</xm:sqref>
        </x14:conditionalFormatting>
        <x14:conditionalFormatting xmlns:xm="http://schemas.microsoft.com/office/excel/2006/main">
          <x14:cfRule type="expression" priority="673" id="{B3640E44-1050-4A44-B031-FA5BE808954C}">
            <xm:f>入力シート!$F$22&lt;$B477</xm:f>
            <x14:dxf>
              <fill>
                <patternFill>
                  <bgColor theme="1" tint="0.499984740745262"/>
                </patternFill>
              </fill>
            </x14:dxf>
          </x14:cfRule>
          <xm:sqref>F477:H477</xm:sqref>
        </x14:conditionalFormatting>
        <x14:conditionalFormatting xmlns:xm="http://schemas.microsoft.com/office/excel/2006/main">
          <x14:cfRule type="expression" priority="670" id="{605E2FAD-FFC1-4FB0-BC17-FDE75F048801}">
            <xm:f>入力シート!$F$22&lt;$B491</xm:f>
            <x14:dxf>
              <fill>
                <patternFill>
                  <bgColor theme="1" tint="0.499984740745262"/>
                </patternFill>
              </fill>
            </x14:dxf>
          </x14:cfRule>
          <xm:sqref>F491:H491</xm:sqref>
        </x14:conditionalFormatting>
        <x14:conditionalFormatting xmlns:xm="http://schemas.microsoft.com/office/excel/2006/main">
          <x14:cfRule type="expression" priority="667" id="{1AFE290A-BA96-42C7-A0E9-07B27A9399BC}">
            <xm:f>入力シート!$F$22&lt;$B505</xm:f>
            <x14:dxf>
              <fill>
                <patternFill>
                  <bgColor theme="1" tint="0.499984740745262"/>
                </patternFill>
              </fill>
            </x14:dxf>
          </x14:cfRule>
          <xm:sqref>F505:H505</xm:sqref>
        </x14:conditionalFormatting>
        <x14:conditionalFormatting xmlns:xm="http://schemas.microsoft.com/office/excel/2006/main">
          <x14:cfRule type="expression" priority="664" id="{C44CA9A1-6959-4F96-98D0-44CBBA95746D}">
            <xm:f>入力シート!$F$22&lt;$B519</xm:f>
            <x14:dxf>
              <fill>
                <patternFill>
                  <bgColor theme="1" tint="0.499984740745262"/>
                </patternFill>
              </fill>
            </x14:dxf>
          </x14:cfRule>
          <xm:sqref>F519:H519</xm:sqref>
        </x14:conditionalFormatting>
        <x14:conditionalFormatting xmlns:xm="http://schemas.microsoft.com/office/excel/2006/main">
          <x14:cfRule type="expression" priority="622" id="{46948129-D728-48BB-B8DC-053603CCF65A}">
            <xm:f>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xm:sqref>
        </x14:conditionalFormatting>
        <x14:conditionalFormatting xmlns:xm="http://schemas.microsoft.com/office/excel/2006/main">
          <x14:cfRule type="expression" priority="301" id="{E8608B56-A5AF-4BEF-B9BE-8733372E4881}">
            <xm:f>入力シート!$F$22&lt;$B95</xm:f>
            <x14:dxf>
              <font>
                <color theme="1" tint="0.499984740745262"/>
              </font>
              <fill>
                <patternFill>
                  <bgColor theme="1" tint="0.499984740745262"/>
                </patternFill>
              </fill>
            </x14:dxf>
          </x14:cfRule>
          <xm:sqref>J95</xm:sqref>
        </x14:conditionalFormatting>
        <x14:conditionalFormatting xmlns:xm="http://schemas.microsoft.com/office/excel/2006/main">
          <x14:cfRule type="expression" priority="124" id="{34161964-337C-4BF0-89FD-A1B499B17482}">
            <xm:f>入力シート!$F$22&lt;$B97</xm:f>
            <x14:dxf>
              <font>
                <color theme="1" tint="0.499984740745262"/>
              </font>
              <fill>
                <patternFill>
                  <bgColor theme="1" tint="0.499984740745262"/>
                </patternFill>
              </fill>
            </x14:dxf>
          </x14:cfRule>
          <xm:sqref>J97</xm:sqref>
        </x14:conditionalFormatting>
        <x14:conditionalFormatting xmlns:xm="http://schemas.microsoft.com/office/excel/2006/main">
          <x14:cfRule type="expression" priority="123" id="{9F8E45D3-53B2-4324-9AB7-2AE8EE590F30}">
            <xm:f>入力シート!$F$22&lt;$B99</xm:f>
            <x14:dxf>
              <font>
                <color theme="1" tint="0.499984740745262"/>
              </font>
              <fill>
                <patternFill>
                  <bgColor theme="1" tint="0.499984740745262"/>
                </patternFill>
              </fill>
            </x14:dxf>
          </x14:cfRule>
          <xm:sqref>J99</xm:sqref>
        </x14:conditionalFormatting>
        <x14:conditionalFormatting xmlns:xm="http://schemas.microsoft.com/office/excel/2006/main">
          <x14:cfRule type="expression" priority="122" id="{6B0B610D-2808-4D61-9702-1FE6511669C3}">
            <xm:f>入力シート!$F$22&lt;$B102</xm:f>
            <x14:dxf>
              <font>
                <color theme="1" tint="0.499984740745262"/>
              </font>
              <fill>
                <patternFill>
                  <bgColor theme="1" tint="0.499984740745262"/>
                </patternFill>
              </fill>
            </x14:dxf>
          </x14:cfRule>
          <xm:sqref>J102</xm:sqref>
        </x14:conditionalFormatting>
        <x14:conditionalFormatting xmlns:xm="http://schemas.microsoft.com/office/excel/2006/main">
          <x14:cfRule type="expression" priority="121" id="{C3FB4A3F-51E7-470F-B2E0-1C9E59EE76E6}">
            <xm:f>入力シート!$F$22&lt;$B104</xm:f>
            <x14:dxf>
              <font>
                <color theme="1" tint="0.499984740745262"/>
              </font>
              <fill>
                <patternFill>
                  <bgColor theme="1" tint="0.499984740745262"/>
                </patternFill>
              </fill>
            </x14:dxf>
          </x14:cfRule>
          <xm:sqref>J104</xm:sqref>
        </x14:conditionalFormatting>
        <x14:conditionalFormatting xmlns:xm="http://schemas.microsoft.com/office/excel/2006/main">
          <x14:cfRule type="expression" priority="120" id="{74C35B47-A417-42E5-A15C-45C7B0390408}">
            <xm:f>入力シート!$F$22&lt;$B106</xm:f>
            <x14:dxf>
              <font>
                <color theme="1" tint="0.499984740745262"/>
              </font>
              <fill>
                <patternFill>
                  <bgColor theme="1" tint="0.499984740745262"/>
                </patternFill>
              </fill>
            </x14:dxf>
          </x14:cfRule>
          <xm:sqref>J106</xm:sqref>
        </x14:conditionalFormatting>
        <x14:conditionalFormatting xmlns:xm="http://schemas.microsoft.com/office/excel/2006/main">
          <x14:cfRule type="expression" priority="119" id="{73B927BC-FF08-4AB9-974A-1FC293DD3FDA}">
            <xm:f>入力シート!$F$22&lt;$B109</xm:f>
            <x14:dxf>
              <font>
                <color theme="1" tint="0.499984740745262"/>
              </font>
              <fill>
                <patternFill>
                  <bgColor theme="1" tint="0.499984740745262"/>
                </patternFill>
              </fill>
            </x14:dxf>
          </x14:cfRule>
          <xm:sqref>J109</xm:sqref>
        </x14:conditionalFormatting>
        <x14:conditionalFormatting xmlns:xm="http://schemas.microsoft.com/office/excel/2006/main">
          <x14:cfRule type="expression" priority="118" id="{F61979C0-7DBD-4A0B-BC93-50438ACD3337}">
            <xm:f>入力シート!$F$22&lt;$B111</xm:f>
            <x14:dxf>
              <font>
                <color theme="1" tint="0.499984740745262"/>
              </font>
              <fill>
                <patternFill>
                  <bgColor theme="1" tint="0.499984740745262"/>
                </patternFill>
              </fill>
            </x14:dxf>
          </x14:cfRule>
          <xm:sqref>J111</xm:sqref>
        </x14:conditionalFormatting>
        <x14:conditionalFormatting xmlns:xm="http://schemas.microsoft.com/office/excel/2006/main">
          <x14:cfRule type="expression" priority="117" id="{248691BF-6888-4F0C-97EA-F7977F812532}">
            <xm:f>入力シート!$F$22&lt;$B113</xm:f>
            <x14:dxf>
              <font>
                <color theme="1" tint="0.499984740745262"/>
              </font>
              <fill>
                <patternFill>
                  <bgColor theme="1" tint="0.499984740745262"/>
                </patternFill>
              </fill>
            </x14:dxf>
          </x14:cfRule>
          <xm:sqref>J113</xm:sqref>
        </x14:conditionalFormatting>
        <x14:conditionalFormatting xmlns:xm="http://schemas.microsoft.com/office/excel/2006/main">
          <x14:cfRule type="expression" priority="116" id="{0F8F8139-2CD9-4041-85F0-07BF8450BD63}">
            <xm:f>入力シート!$F$22&lt;$B116</xm:f>
            <x14:dxf>
              <font>
                <color theme="1" tint="0.499984740745262"/>
              </font>
              <fill>
                <patternFill>
                  <bgColor theme="1" tint="0.499984740745262"/>
                </patternFill>
              </fill>
            </x14:dxf>
          </x14:cfRule>
          <xm:sqref>J116</xm:sqref>
        </x14:conditionalFormatting>
        <x14:conditionalFormatting xmlns:xm="http://schemas.microsoft.com/office/excel/2006/main">
          <x14:cfRule type="expression" priority="115" id="{EC990E45-6AE3-420E-B231-A0B9E30C5F80}">
            <xm:f>入力シート!$F$22&lt;$B118</xm:f>
            <x14:dxf>
              <font>
                <color theme="1" tint="0.499984740745262"/>
              </font>
              <fill>
                <patternFill>
                  <bgColor theme="1" tint="0.499984740745262"/>
                </patternFill>
              </fill>
            </x14:dxf>
          </x14:cfRule>
          <xm:sqref>J118</xm:sqref>
        </x14:conditionalFormatting>
        <x14:conditionalFormatting xmlns:xm="http://schemas.microsoft.com/office/excel/2006/main">
          <x14:cfRule type="expression" priority="114" id="{8E6A4F84-BC1A-41C7-8072-DC15F79309E3}">
            <xm:f>入力シート!$F$22&lt;$B120</xm:f>
            <x14:dxf>
              <font>
                <color theme="1" tint="0.499984740745262"/>
              </font>
              <fill>
                <patternFill>
                  <bgColor theme="1" tint="0.499984740745262"/>
                </patternFill>
              </fill>
            </x14:dxf>
          </x14:cfRule>
          <xm:sqref>J120</xm:sqref>
        </x14:conditionalFormatting>
        <x14:conditionalFormatting xmlns:xm="http://schemas.microsoft.com/office/excel/2006/main">
          <x14:cfRule type="expression" priority="113" id="{54571BE4-1AE6-45A1-B267-044B9C85922D}">
            <xm:f>入力シート!$F$22&lt;$B123</xm:f>
            <x14:dxf>
              <font>
                <color theme="1" tint="0.499984740745262"/>
              </font>
              <fill>
                <patternFill>
                  <bgColor theme="1" tint="0.499984740745262"/>
                </patternFill>
              </fill>
            </x14:dxf>
          </x14:cfRule>
          <xm:sqref>J123</xm:sqref>
        </x14:conditionalFormatting>
        <x14:conditionalFormatting xmlns:xm="http://schemas.microsoft.com/office/excel/2006/main">
          <x14:cfRule type="expression" priority="112" id="{80A5B326-9763-4434-B72D-1B7C673A72D6}">
            <xm:f>入力シート!$F$22&lt;$B125</xm:f>
            <x14:dxf>
              <font>
                <color theme="1" tint="0.499984740745262"/>
              </font>
              <fill>
                <patternFill>
                  <bgColor theme="1" tint="0.499984740745262"/>
                </patternFill>
              </fill>
            </x14:dxf>
          </x14:cfRule>
          <xm:sqref>J125</xm:sqref>
        </x14:conditionalFormatting>
        <x14:conditionalFormatting xmlns:xm="http://schemas.microsoft.com/office/excel/2006/main">
          <x14:cfRule type="expression" priority="111" id="{B063E0CD-9D9E-4424-B199-672DC8B88A3F}">
            <xm:f>入力シート!$F$22&lt;$B127</xm:f>
            <x14:dxf>
              <font>
                <color theme="1" tint="0.499984740745262"/>
              </font>
              <fill>
                <patternFill>
                  <bgColor theme="1" tint="0.499984740745262"/>
                </patternFill>
              </fill>
            </x14:dxf>
          </x14:cfRule>
          <xm:sqref>J127</xm:sqref>
        </x14:conditionalFormatting>
        <x14:conditionalFormatting xmlns:xm="http://schemas.microsoft.com/office/excel/2006/main">
          <x14:cfRule type="expression" priority="110" id="{58E375FD-8932-4278-9BBD-06F098835830}">
            <xm:f>入力シート!$F$22&lt;$B130</xm:f>
            <x14:dxf>
              <font>
                <color theme="1" tint="0.499984740745262"/>
              </font>
              <fill>
                <patternFill>
                  <bgColor theme="1" tint="0.499984740745262"/>
                </patternFill>
              </fill>
            </x14:dxf>
          </x14:cfRule>
          <xm:sqref>J130</xm:sqref>
        </x14:conditionalFormatting>
        <x14:conditionalFormatting xmlns:xm="http://schemas.microsoft.com/office/excel/2006/main">
          <x14:cfRule type="expression" priority="109" id="{08BECAB7-52B6-43B3-8850-F8D3752F45BA}">
            <xm:f>入力シート!$F$22&lt;$B132</xm:f>
            <x14:dxf>
              <font>
                <color theme="1" tint="0.499984740745262"/>
              </font>
              <fill>
                <patternFill>
                  <bgColor theme="1" tint="0.499984740745262"/>
                </patternFill>
              </fill>
            </x14:dxf>
          </x14:cfRule>
          <xm:sqref>J132</xm:sqref>
        </x14:conditionalFormatting>
        <x14:conditionalFormatting xmlns:xm="http://schemas.microsoft.com/office/excel/2006/main">
          <x14:cfRule type="expression" priority="108" id="{A346F74E-5577-437D-870F-46236BBCEE97}">
            <xm:f>入力シート!$F$22&lt;$B134</xm:f>
            <x14:dxf>
              <font>
                <color theme="1" tint="0.499984740745262"/>
              </font>
              <fill>
                <patternFill>
                  <bgColor theme="1" tint="0.499984740745262"/>
                </patternFill>
              </fill>
            </x14:dxf>
          </x14:cfRule>
          <xm:sqref>J134</xm:sqref>
        </x14:conditionalFormatting>
        <x14:conditionalFormatting xmlns:xm="http://schemas.microsoft.com/office/excel/2006/main">
          <x14:cfRule type="expression" priority="107" id="{360D7803-E31C-406D-AC48-775E35394E2A}">
            <xm:f>入力シート!$F$22&lt;$B137</xm:f>
            <x14:dxf>
              <font>
                <color theme="1" tint="0.499984740745262"/>
              </font>
              <fill>
                <patternFill>
                  <bgColor theme="1" tint="0.499984740745262"/>
                </patternFill>
              </fill>
            </x14:dxf>
          </x14:cfRule>
          <xm:sqref>J137</xm:sqref>
        </x14:conditionalFormatting>
        <x14:conditionalFormatting xmlns:xm="http://schemas.microsoft.com/office/excel/2006/main">
          <x14:cfRule type="expression" priority="106" id="{A54260EC-75AC-46D7-B3DF-BF53D1FFCFEB}">
            <xm:f>入力シート!$F$22&lt;$B139</xm:f>
            <x14:dxf>
              <font>
                <color theme="1" tint="0.499984740745262"/>
              </font>
              <fill>
                <patternFill>
                  <bgColor theme="1" tint="0.499984740745262"/>
                </patternFill>
              </fill>
            </x14:dxf>
          </x14:cfRule>
          <xm:sqref>J139</xm:sqref>
        </x14:conditionalFormatting>
        <x14:conditionalFormatting xmlns:xm="http://schemas.microsoft.com/office/excel/2006/main">
          <x14:cfRule type="expression" priority="105" id="{834ACCFB-2652-4FEC-8B7A-F4FEE4C339C9}">
            <xm:f>入力シート!$F$22&lt;$B141</xm:f>
            <x14:dxf>
              <font>
                <color theme="1" tint="0.499984740745262"/>
              </font>
              <fill>
                <patternFill>
                  <bgColor theme="1" tint="0.499984740745262"/>
                </patternFill>
              </fill>
            </x14:dxf>
          </x14:cfRule>
          <xm:sqref>J141</xm:sqref>
        </x14:conditionalFormatting>
        <x14:conditionalFormatting xmlns:xm="http://schemas.microsoft.com/office/excel/2006/main">
          <x14:cfRule type="expression" priority="104" id="{0F5E81FC-2B16-4F98-8811-A3561515DC4B}">
            <xm:f>入力シート!$F$22&lt;$B144</xm:f>
            <x14:dxf>
              <font>
                <color theme="1" tint="0.499984740745262"/>
              </font>
              <fill>
                <patternFill>
                  <bgColor theme="1" tint="0.499984740745262"/>
                </patternFill>
              </fill>
            </x14:dxf>
          </x14:cfRule>
          <xm:sqref>J144</xm:sqref>
        </x14:conditionalFormatting>
        <x14:conditionalFormatting xmlns:xm="http://schemas.microsoft.com/office/excel/2006/main">
          <x14:cfRule type="expression" priority="103" id="{95BC990C-2594-455E-866F-96B4171E0B91}">
            <xm:f>入力シート!$F$22&lt;$B146</xm:f>
            <x14:dxf>
              <font>
                <color theme="1" tint="0.499984740745262"/>
              </font>
              <fill>
                <patternFill>
                  <bgColor theme="1" tint="0.499984740745262"/>
                </patternFill>
              </fill>
            </x14:dxf>
          </x14:cfRule>
          <xm:sqref>J146</xm:sqref>
        </x14:conditionalFormatting>
        <x14:conditionalFormatting xmlns:xm="http://schemas.microsoft.com/office/excel/2006/main">
          <x14:cfRule type="expression" priority="102" id="{96F3D1C7-6539-4476-B3F1-8B7EB7B94759}">
            <xm:f>入力シート!$F$22&lt;$B148</xm:f>
            <x14:dxf>
              <font>
                <color theme="1" tint="0.499984740745262"/>
              </font>
              <fill>
                <patternFill>
                  <bgColor theme="1" tint="0.499984740745262"/>
                </patternFill>
              </fill>
            </x14:dxf>
          </x14:cfRule>
          <xm:sqref>J148</xm:sqref>
        </x14:conditionalFormatting>
        <x14:conditionalFormatting xmlns:xm="http://schemas.microsoft.com/office/excel/2006/main">
          <x14:cfRule type="expression" priority="101" id="{C1005C72-6E4D-497A-9664-E8A20B8F150D}">
            <xm:f>入力シート!$F$22&lt;$B151</xm:f>
            <x14:dxf>
              <font>
                <color theme="1" tint="0.499984740745262"/>
              </font>
              <fill>
                <patternFill>
                  <bgColor theme="1" tint="0.499984740745262"/>
                </patternFill>
              </fill>
            </x14:dxf>
          </x14:cfRule>
          <xm:sqref>J151</xm:sqref>
        </x14:conditionalFormatting>
        <x14:conditionalFormatting xmlns:xm="http://schemas.microsoft.com/office/excel/2006/main">
          <x14:cfRule type="expression" priority="100" id="{373BA5B4-8597-4BEA-822D-878D07A1960A}">
            <xm:f>入力シート!$F$22&lt;$B153</xm:f>
            <x14:dxf>
              <font>
                <color theme="1" tint="0.499984740745262"/>
              </font>
              <fill>
                <patternFill>
                  <bgColor theme="1" tint="0.499984740745262"/>
                </patternFill>
              </fill>
            </x14:dxf>
          </x14:cfRule>
          <xm:sqref>J153</xm:sqref>
        </x14:conditionalFormatting>
        <x14:conditionalFormatting xmlns:xm="http://schemas.microsoft.com/office/excel/2006/main">
          <x14:cfRule type="expression" priority="99" id="{0A307C66-15CA-4864-AE12-1FF9EEEFCF10}">
            <xm:f>入力シート!$F$22&lt;$B155</xm:f>
            <x14:dxf>
              <font>
                <color theme="1" tint="0.499984740745262"/>
              </font>
              <fill>
                <patternFill>
                  <bgColor theme="1" tint="0.499984740745262"/>
                </patternFill>
              </fill>
            </x14:dxf>
          </x14:cfRule>
          <xm:sqref>J155</xm:sqref>
        </x14:conditionalFormatting>
        <x14:conditionalFormatting xmlns:xm="http://schemas.microsoft.com/office/excel/2006/main">
          <x14:cfRule type="expression" priority="98" id="{31D29A4A-BA92-4543-8DE6-94871AA9AA16}">
            <xm:f>入力シート!$F$22&lt;$B158</xm:f>
            <x14:dxf>
              <font>
                <color theme="1" tint="0.499984740745262"/>
              </font>
              <fill>
                <patternFill>
                  <bgColor theme="1" tint="0.499984740745262"/>
                </patternFill>
              </fill>
            </x14:dxf>
          </x14:cfRule>
          <xm:sqref>J158</xm:sqref>
        </x14:conditionalFormatting>
        <x14:conditionalFormatting xmlns:xm="http://schemas.microsoft.com/office/excel/2006/main">
          <x14:cfRule type="expression" priority="97" id="{B9E5EFEC-8093-4557-855F-C1DF00D82D7A}">
            <xm:f>入力シート!$F$22&lt;$B160</xm:f>
            <x14:dxf>
              <font>
                <color theme="1" tint="0.499984740745262"/>
              </font>
              <fill>
                <patternFill>
                  <bgColor theme="1" tint="0.499984740745262"/>
                </patternFill>
              </fill>
            </x14:dxf>
          </x14:cfRule>
          <xm:sqref>J160</xm:sqref>
        </x14:conditionalFormatting>
        <x14:conditionalFormatting xmlns:xm="http://schemas.microsoft.com/office/excel/2006/main">
          <x14:cfRule type="expression" priority="96" id="{D06BEB98-B997-425A-9095-F525EF18BFB6}">
            <xm:f>入力シート!$F$22&lt;$B162</xm:f>
            <x14:dxf>
              <font>
                <color theme="1" tint="0.499984740745262"/>
              </font>
              <fill>
                <patternFill>
                  <bgColor theme="1" tint="0.499984740745262"/>
                </patternFill>
              </fill>
            </x14:dxf>
          </x14:cfRule>
          <xm:sqref>J162</xm:sqref>
        </x14:conditionalFormatting>
        <x14:conditionalFormatting xmlns:xm="http://schemas.microsoft.com/office/excel/2006/main">
          <x14:cfRule type="expression" priority="95" id="{65F8C427-6E4C-4FEE-A44A-ECA959837D00}">
            <xm:f>入力シート!$F$22&lt;$B165</xm:f>
            <x14:dxf>
              <font>
                <color theme="1" tint="0.499984740745262"/>
              </font>
              <fill>
                <patternFill>
                  <bgColor theme="1" tint="0.499984740745262"/>
                </patternFill>
              </fill>
            </x14:dxf>
          </x14:cfRule>
          <xm:sqref>J165</xm:sqref>
        </x14:conditionalFormatting>
        <x14:conditionalFormatting xmlns:xm="http://schemas.microsoft.com/office/excel/2006/main">
          <x14:cfRule type="expression" priority="94" id="{1BE0AC8A-8019-4971-B956-618884E8954B}">
            <xm:f>入力シート!$F$22&lt;$B167</xm:f>
            <x14:dxf>
              <font>
                <color theme="1" tint="0.499984740745262"/>
              </font>
              <fill>
                <patternFill>
                  <bgColor theme="1" tint="0.499984740745262"/>
                </patternFill>
              </fill>
            </x14:dxf>
          </x14:cfRule>
          <xm:sqref>J167</xm:sqref>
        </x14:conditionalFormatting>
        <x14:conditionalFormatting xmlns:xm="http://schemas.microsoft.com/office/excel/2006/main">
          <x14:cfRule type="expression" priority="93" id="{C809612B-3158-40CE-BF03-B6EBD9E85FDD}">
            <xm:f>入力シート!$F$22&lt;$B169</xm:f>
            <x14:dxf>
              <font>
                <color theme="1" tint="0.499984740745262"/>
              </font>
              <fill>
                <patternFill>
                  <bgColor theme="1" tint="0.499984740745262"/>
                </patternFill>
              </fill>
            </x14:dxf>
          </x14:cfRule>
          <xm:sqref>J169</xm:sqref>
        </x14:conditionalFormatting>
        <x14:conditionalFormatting xmlns:xm="http://schemas.microsoft.com/office/excel/2006/main">
          <x14:cfRule type="expression" priority="92" id="{7A459B06-3815-4F88-927C-D0856910514B}">
            <xm:f>入力シート!$F$22&lt;$B172</xm:f>
            <x14:dxf>
              <font>
                <color theme="1" tint="0.499984740745262"/>
              </font>
              <fill>
                <patternFill>
                  <bgColor theme="1" tint="0.499984740745262"/>
                </patternFill>
              </fill>
            </x14:dxf>
          </x14:cfRule>
          <xm:sqref>J172</xm:sqref>
        </x14:conditionalFormatting>
        <x14:conditionalFormatting xmlns:xm="http://schemas.microsoft.com/office/excel/2006/main">
          <x14:cfRule type="expression" priority="91" id="{42779320-FDEA-4BD7-962D-D2C422D0C006}">
            <xm:f>入力シート!$F$22&lt;$B174</xm:f>
            <x14:dxf>
              <font>
                <color theme="1" tint="0.499984740745262"/>
              </font>
              <fill>
                <patternFill>
                  <bgColor theme="1" tint="0.499984740745262"/>
                </patternFill>
              </fill>
            </x14:dxf>
          </x14:cfRule>
          <xm:sqref>J174</xm:sqref>
        </x14:conditionalFormatting>
        <x14:conditionalFormatting xmlns:xm="http://schemas.microsoft.com/office/excel/2006/main">
          <x14:cfRule type="expression" priority="90" id="{A74EA98A-449C-497E-958F-FD819CCDB91C}">
            <xm:f>入力シート!$F$22&lt;$B176</xm:f>
            <x14:dxf>
              <font>
                <color theme="1" tint="0.499984740745262"/>
              </font>
              <fill>
                <patternFill>
                  <bgColor theme="1" tint="0.499984740745262"/>
                </patternFill>
              </fill>
            </x14:dxf>
          </x14:cfRule>
          <xm:sqref>J176</xm:sqref>
        </x14:conditionalFormatting>
        <x14:conditionalFormatting xmlns:xm="http://schemas.microsoft.com/office/excel/2006/main">
          <x14:cfRule type="expression" priority="89" id="{7572F83B-AA89-4833-974F-7E575F1C3343}">
            <xm:f>入力シート!$F$22&lt;$B179</xm:f>
            <x14:dxf>
              <font>
                <color theme="1" tint="0.499984740745262"/>
              </font>
              <fill>
                <patternFill>
                  <bgColor theme="1" tint="0.499984740745262"/>
                </patternFill>
              </fill>
            </x14:dxf>
          </x14:cfRule>
          <xm:sqref>J179</xm:sqref>
        </x14:conditionalFormatting>
        <x14:conditionalFormatting xmlns:xm="http://schemas.microsoft.com/office/excel/2006/main">
          <x14:cfRule type="expression" priority="88" id="{1003A65C-E373-46A2-87C4-AB718AC0717B}">
            <xm:f>入力シート!$F$22&lt;$B181</xm:f>
            <x14:dxf>
              <font>
                <color theme="1" tint="0.499984740745262"/>
              </font>
              <fill>
                <patternFill>
                  <bgColor theme="1" tint="0.499984740745262"/>
                </patternFill>
              </fill>
            </x14:dxf>
          </x14:cfRule>
          <xm:sqref>J181</xm:sqref>
        </x14:conditionalFormatting>
        <x14:conditionalFormatting xmlns:xm="http://schemas.microsoft.com/office/excel/2006/main">
          <x14:cfRule type="expression" priority="87" id="{0457A03C-287C-46E5-8311-1CCB151CF3D2}">
            <xm:f>入力シート!$F$22&lt;$B183</xm:f>
            <x14:dxf>
              <font>
                <color theme="1" tint="0.499984740745262"/>
              </font>
              <fill>
                <patternFill>
                  <bgColor theme="1" tint="0.499984740745262"/>
                </patternFill>
              </fill>
            </x14:dxf>
          </x14:cfRule>
          <xm:sqref>J183</xm:sqref>
        </x14:conditionalFormatting>
        <x14:conditionalFormatting xmlns:xm="http://schemas.microsoft.com/office/excel/2006/main">
          <x14:cfRule type="expression" priority="86" id="{8C0D191E-829F-4B7F-B6D2-6AA0CCEAA1BD}">
            <xm:f>入力シート!$F$22&lt;$B186</xm:f>
            <x14:dxf>
              <font>
                <color theme="1" tint="0.499984740745262"/>
              </font>
              <fill>
                <patternFill>
                  <bgColor theme="1" tint="0.499984740745262"/>
                </patternFill>
              </fill>
            </x14:dxf>
          </x14:cfRule>
          <xm:sqref>J186</xm:sqref>
        </x14:conditionalFormatting>
        <x14:conditionalFormatting xmlns:xm="http://schemas.microsoft.com/office/excel/2006/main">
          <x14:cfRule type="expression" priority="85" id="{07C7905E-0644-42E9-A300-DBDBEBFFC421}">
            <xm:f>入力シート!$F$22&lt;$B188</xm:f>
            <x14:dxf>
              <font>
                <color theme="1" tint="0.499984740745262"/>
              </font>
              <fill>
                <patternFill>
                  <bgColor theme="1" tint="0.499984740745262"/>
                </patternFill>
              </fill>
            </x14:dxf>
          </x14:cfRule>
          <xm:sqref>J188</xm:sqref>
        </x14:conditionalFormatting>
        <x14:conditionalFormatting xmlns:xm="http://schemas.microsoft.com/office/excel/2006/main">
          <x14:cfRule type="expression" priority="84" id="{FA9F74A6-2E03-4951-AC9F-670D679F3110}">
            <xm:f>入力シート!$F$22&lt;$B190</xm:f>
            <x14:dxf>
              <font>
                <color theme="1" tint="0.499984740745262"/>
              </font>
              <fill>
                <patternFill>
                  <bgColor theme="1" tint="0.499984740745262"/>
                </patternFill>
              </fill>
            </x14:dxf>
          </x14:cfRule>
          <xm:sqref>J190</xm:sqref>
        </x14:conditionalFormatting>
        <x14:conditionalFormatting xmlns:xm="http://schemas.microsoft.com/office/excel/2006/main">
          <x14:cfRule type="expression" priority="83" id="{0113665A-854B-4B7A-B4C5-E8A8D2BEE1DF}">
            <xm:f>入力シート!$F$22&lt;$B193</xm:f>
            <x14:dxf>
              <font>
                <color theme="1" tint="0.499984740745262"/>
              </font>
              <fill>
                <patternFill>
                  <bgColor theme="1" tint="0.499984740745262"/>
                </patternFill>
              </fill>
            </x14:dxf>
          </x14:cfRule>
          <xm:sqref>J193</xm:sqref>
        </x14:conditionalFormatting>
        <x14:conditionalFormatting xmlns:xm="http://schemas.microsoft.com/office/excel/2006/main">
          <x14:cfRule type="expression" priority="82" id="{13BBEB90-A976-4CBF-A548-054219006164}">
            <xm:f>入力シート!$F$22&lt;$B195</xm:f>
            <x14:dxf>
              <font>
                <color theme="1" tint="0.499984740745262"/>
              </font>
              <fill>
                <patternFill>
                  <bgColor theme="1" tint="0.499984740745262"/>
                </patternFill>
              </fill>
            </x14:dxf>
          </x14:cfRule>
          <xm:sqref>J195</xm:sqref>
        </x14:conditionalFormatting>
        <x14:conditionalFormatting xmlns:xm="http://schemas.microsoft.com/office/excel/2006/main">
          <x14:cfRule type="expression" priority="81" id="{FAF36C55-B128-42CA-90A8-12ED989CE040}">
            <xm:f>入力シート!$F$22&lt;$B197</xm:f>
            <x14:dxf>
              <font>
                <color theme="1" tint="0.499984740745262"/>
              </font>
              <fill>
                <patternFill>
                  <bgColor theme="1" tint="0.499984740745262"/>
                </patternFill>
              </fill>
            </x14:dxf>
          </x14:cfRule>
          <xm:sqref>J197</xm:sqref>
        </x14:conditionalFormatting>
        <x14:conditionalFormatting xmlns:xm="http://schemas.microsoft.com/office/excel/2006/main">
          <x14:cfRule type="expression" priority="80" id="{F6ED90D7-1D1A-4F88-A341-BDA84E8A42A0}">
            <xm:f>入力シート!$F$22&lt;$B200</xm:f>
            <x14:dxf>
              <font>
                <color theme="1" tint="0.499984740745262"/>
              </font>
              <fill>
                <patternFill>
                  <bgColor theme="1" tint="0.499984740745262"/>
                </patternFill>
              </fill>
            </x14:dxf>
          </x14:cfRule>
          <xm:sqref>J200</xm:sqref>
        </x14:conditionalFormatting>
        <x14:conditionalFormatting xmlns:xm="http://schemas.microsoft.com/office/excel/2006/main">
          <x14:cfRule type="expression" priority="79" id="{917AF6B7-4836-435D-A7CD-5CB17744982E}">
            <xm:f>入力シート!$F$22&lt;$B202</xm:f>
            <x14:dxf>
              <font>
                <color theme="1" tint="0.499984740745262"/>
              </font>
              <fill>
                <patternFill>
                  <bgColor theme="1" tint="0.499984740745262"/>
                </patternFill>
              </fill>
            </x14:dxf>
          </x14:cfRule>
          <xm:sqref>J202</xm:sqref>
        </x14:conditionalFormatting>
        <x14:conditionalFormatting xmlns:xm="http://schemas.microsoft.com/office/excel/2006/main">
          <x14:cfRule type="expression" priority="78" id="{CBF5F7E4-5BD9-40B0-BEB2-CCDD2E025F1F}">
            <xm:f>入力シート!$F$22&lt;$B204</xm:f>
            <x14:dxf>
              <font>
                <color theme="1" tint="0.499984740745262"/>
              </font>
              <fill>
                <patternFill>
                  <bgColor theme="1" tint="0.499984740745262"/>
                </patternFill>
              </fill>
            </x14:dxf>
          </x14:cfRule>
          <xm:sqref>J204</xm:sqref>
        </x14:conditionalFormatting>
        <x14:conditionalFormatting xmlns:xm="http://schemas.microsoft.com/office/excel/2006/main">
          <x14:cfRule type="expression" priority="77" id="{CCABB317-BC5F-4AD8-826B-7635C921DC01}">
            <xm:f>入力シート!$F$22&lt;$B207</xm:f>
            <x14:dxf>
              <font>
                <color theme="1" tint="0.499984740745262"/>
              </font>
              <fill>
                <patternFill>
                  <bgColor theme="1" tint="0.499984740745262"/>
                </patternFill>
              </fill>
            </x14:dxf>
          </x14:cfRule>
          <xm:sqref>J207</xm:sqref>
        </x14:conditionalFormatting>
        <x14:conditionalFormatting xmlns:xm="http://schemas.microsoft.com/office/excel/2006/main">
          <x14:cfRule type="expression" priority="76" id="{DA49712C-B46F-4C17-96DF-2EA4BD9A8796}">
            <xm:f>入力シート!$F$22&lt;$B209</xm:f>
            <x14:dxf>
              <font>
                <color theme="1" tint="0.499984740745262"/>
              </font>
              <fill>
                <patternFill>
                  <bgColor theme="1" tint="0.499984740745262"/>
                </patternFill>
              </fill>
            </x14:dxf>
          </x14:cfRule>
          <xm:sqref>J209</xm:sqref>
        </x14:conditionalFormatting>
        <x14:conditionalFormatting xmlns:xm="http://schemas.microsoft.com/office/excel/2006/main">
          <x14:cfRule type="expression" priority="75" id="{9027CB78-F62F-49EC-95AB-60D1AEBCC365}">
            <xm:f>入力シート!$F$22&lt;$B211</xm:f>
            <x14:dxf>
              <font>
                <color theme="1" tint="0.499984740745262"/>
              </font>
              <fill>
                <patternFill>
                  <bgColor theme="1" tint="0.499984740745262"/>
                </patternFill>
              </fill>
            </x14:dxf>
          </x14:cfRule>
          <xm:sqref>J211</xm:sqref>
        </x14:conditionalFormatting>
        <x14:conditionalFormatting xmlns:xm="http://schemas.microsoft.com/office/excel/2006/main">
          <x14:cfRule type="expression" priority="74" id="{ED0A6380-8F76-4217-81E1-9B3198F70C13}">
            <xm:f>入力シート!$F$22&lt;$B214</xm:f>
            <x14:dxf>
              <font>
                <color theme="1" tint="0.499984740745262"/>
              </font>
              <fill>
                <patternFill>
                  <bgColor theme="1" tint="0.499984740745262"/>
                </patternFill>
              </fill>
            </x14:dxf>
          </x14:cfRule>
          <xm:sqref>J214</xm:sqref>
        </x14:conditionalFormatting>
        <x14:conditionalFormatting xmlns:xm="http://schemas.microsoft.com/office/excel/2006/main">
          <x14:cfRule type="expression" priority="73" id="{FFC77DF3-5B75-486D-A48B-29FD5A1CC9C2}">
            <xm:f>入力シート!$F$22&lt;$B216</xm:f>
            <x14:dxf>
              <font>
                <color theme="1" tint="0.499984740745262"/>
              </font>
              <fill>
                <patternFill>
                  <bgColor theme="1" tint="0.499984740745262"/>
                </patternFill>
              </fill>
            </x14:dxf>
          </x14:cfRule>
          <xm:sqref>J216</xm:sqref>
        </x14:conditionalFormatting>
        <x14:conditionalFormatting xmlns:xm="http://schemas.microsoft.com/office/excel/2006/main">
          <x14:cfRule type="expression" priority="72" id="{BBAFBE1F-1EDB-4648-8BE9-097564ACC2DE}">
            <xm:f>入力シート!$F$22&lt;$B218</xm:f>
            <x14:dxf>
              <font>
                <color theme="1" tint="0.499984740745262"/>
              </font>
              <fill>
                <patternFill>
                  <bgColor theme="1" tint="0.499984740745262"/>
                </patternFill>
              </fill>
            </x14:dxf>
          </x14:cfRule>
          <xm:sqref>J218</xm:sqref>
        </x14:conditionalFormatting>
        <x14:conditionalFormatting xmlns:xm="http://schemas.microsoft.com/office/excel/2006/main">
          <x14:cfRule type="expression" priority="71" id="{EF2FC679-899D-49CC-B0C0-DCA79D56D66E}">
            <xm:f>入力シート!$F$22&lt;$B221</xm:f>
            <x14:dxf>
              <font>
                <color theme="1" tint="0.499984740745262"/>
              </font>
              <fill>
                <patternFill>
                  <bgColor theme="1" tint="0.499984740745262"/>
                </patternFill>
              </fill>
            </x14:dxf>
          </x14:cfRule>
          <xm:sqref>J221</xm:sqref>
        </x14:conditionalFormatting>
        <x14:conditionalFormatting xmlns:xm="http://schemas.microsoft.com/office/excel/2006/main">
          <x14:cfRule type="expression" priority="70" id="{BA5D6879-3459-4E59-9408-96926FC4EA40}">
            <xm:f>入力シート!$F$22&lt;$B223</xm:f>
            <x14:dxf>
              <font>
                <color theme="1" tint="0.499984740745262"/>
              </font>
              <fill>
                <patternFill>
                  <bgColor theme="1" tint="0.499984740745262"/>
                </patternFill>
              </fill>
            </x14:dxf>
          </x14:cfRule>
          <xm:sqref>J223</xm:sqref>
        </x14:conditionalFormatting>
        <x14:conditionalFormatting xmlns:xm="http://schemas.microsoft.com/office/excel/2006/main">
          <x14:cfRule type="expression" priority="69" id="{72A24463-B55C-4931-A957-36635E3A663F}">
            <xm:f>入力シート!$F$22&lt;$B225</xm:f>
            <x14:dxf>
              <font>
                <color theme="1" tint="0.499984740745262"/>
              </font>
              <fill>
                <patternFill>
                  <bgColor theme="1" tint="0.499984740745262"/>
                </patternFill>
              </fill>
            </x14:dxf>
          </x14:cfRule>
          <xm:sqref>J225</xm:sqref>
        </x14:conditionalFormatting>
        <x14:conditionalFormatting xmlns:xm="http://schemas.microsoft.com/office/excel/2006/main">
          <x14:cfRule type="expression" priority="68" id="{244593C8-7C10-4445-A8B2-480F8784CDF4}">
            <xm:f>入力シート!$F$22&lt;$B228</xm:f>
            <x14:dxf>
              <font>
                <color theme="1" tint="0.499984740745262"/>
              </font>
              <fill>
                <patternFill>
                  <bgColor theme="1" tint="0.499984740745262"/>
                </patternFill>
              </fill>
            </x14:dxf>
          </x14:cfRule>
          <xm:sqref>J228</xm:sqref>
        </x14:conditionalFormatting>
        <x14:conditionalFormatting xmlns:xm="http://schemas.microsoft.com/office/excel/2006/main">
          <x14:cfRule type="expression" priority="67" id="{B9F737DC-C033-48F5-9E3D-879151DC336E}">
            <xm:f>入力シート!$F$22&lt;$B230</xm:f>
            <x14:dxf>
              <font>
                <color theme="1" tint="0.499984740745262"/>
              </font>
              <fill>
                <patternFill>
                  <bgColor theme="1" tint="0.499984740745262"/>
                </patternFill>
              </fill>
            </x14:dxf>
          </x14:cfRule>
          <xm:sqref>J230</xm:sqref>
        </x14:conditionalFormatting>
        <x14:conditionalFormatting xmlns:xm="http://schemas.microsoft.com/office/excel/2006/main">
          <x14:cfRule type="expression" priority="66" id="{7F2C8DC2-25F1-4D42-BF85-0E040FB6EE30}">
            <xm:f>入力シート!$F$22&lt;$B232</xm:f>
            <x14:dxf>
              <font>
                <color theme="1" tint="0.499984740745262"/>
              </font>
              <fill>
                <patternFill>
                  <bgColor theme="1" tint="0.499984740745262"/>
                </patternFill>
              </fill>
            </x14:dxf>
          </x14:cfRule>
          <xm:sqref>J232</xm:sqref>
        </x14:conditionalFormatting>
        <x14:conditionalFormatting xmlns:xm="http://schemas.microsoft.com/office/excel/2006/main">
          <x14:cfRule type="expression" priority="65" id="{4D7C4E5D-0FD8-476B-A856-BEF048C46150}">
            <xm:f>入力シート!$F$22&lt;$B235</xm:f>
            <x14:dxf>
              <font>
                <color theme="1" tint="0.499984740745262"/>
              </font>
              <fill>
                <patternFill>
                  <bgColor theme="1" tint="0.499984740745262"/>
                </patternFill>
              </fill>
            </x14:dxf>
          </x14:cfRule>
          <xm:sqref>J235</xm:sqref>
        </x14:conditionalFormatting>
        <x14:conditionalFormatting xmlns:xm="http://schemas.microsoft.com/office/excel/2006/main">
          <x14:cfRule type="expression" priority="64" id="{B72EED79-BD35-4725-A838-18CDEDDC9BBD}">
            <xm:f>入力シート!$F$22&lt;$B237</xm:f>
            <x14:dxf>
              <font>
                <color theme="1" tint="0.499984740745262"/>
              </font>
              <fill>
                <patternFill>
                  <bgColor theme="1" tint="0.499984740745262"/>
                </patternFill>
              </fill>
            </x14:dxf>
          </x14:cfRule>
          <xm:sqref>J237</xm:sqref>
        </x14:conditionalFormatting>
        <x14:conditionalFormatting xmlns:xm="http://schemas.microsoft.com/office/excel/2006/main">
          <x14:cfRule type="expression" priority="63" id="{7ADB8668-8875-4E88-BE5E-A40BDBB8ED96}">
            <xm:f>入力シート!$F$22&lt;$B239</xm:f>
            <x14:dxf>
              <font>
                <color theme="1" tint="0.499984740745262"/>
              </font>
              <fill>
                <patternFill>
                  <bgColor theme="1" tint="0.499984740745262"/>
                </patternFill>
              </fill>
            </x14:dxf>
          </x14:cfRule>
          <xm:sqref>J239</xm:sqref>
        </x14:conditionalFormatting>
        <x14:conditionalFormatting xmlns:xm="http://schemas.microsoft.com/office/excel/2006/main">
          <x14:cfRule type="expression" priority="62" id="{F95B74ED-ED73-4CAA-860D-8A6AD6AD927A}">
            <xm:f>入力シート!$F$22&lt;$B242</xm:f>
            <x14:dxf>
              <font>
                <color theme="1" tint="0.499984740745262"/>
              </font>
              <fill>
                <patternFill>
                  <bgColor theme="1" tint="0.499984740745262"/>
                </patternFill>
              </fill>
            </x14:dxf>
          </x14:cfRule>
          <xm:sqref>J242</xm:sqref>
        </x14:conditionalFormatting>
        <x14:conditionalFormatting xmlns:xm="http://schemas.microsoft.com/office/excel/2006/main">
          <x14:cfRule type="expression" priority="61" id="{6434B759-DE01-4ACA-9A92-DDE48DDE5F90}">
            <xm:f>入力シート!$F$22&lt;$B244</xm:f>
            <x14:dxf>
              <font>
                <color theme="1" tint="0.499984740745262"/>
              </font>
              <fill>
                <patternFill>
                  <bgColor theme="1" tint="0.499984740745262"/>
                </patternFill>
              </fill>
            </x14:dxf>
          </x14:cfRule>
          <xm:sqref>J244</xm:sqref>
        </x14:conditionalFormatting>
        <x14:conditionalFormatting xmlns:xm="http://schemas.microsoft.com/office/excel/2006/main">
          <x14:cfRule type="expression" priority="60" id="{9C513ABC-3D7C-4D62-AB48-EC26D57CA19F}">
            <xm:f>入力シート!$F$22&lt;$B246</xm:f>
            <x14:dxf>
              <font>
                <color theme="1" tint="0.499984740745262"/>
              </font>
              <fill>
                <patternFill>
                  <bgColor theme="1" tint="0.499984740745262"/>
                </patternFill>
              </fill>
            </x14:dxf>
          </x14:cfRule>
          <xm:sqref>J246</xm:sqref>
        </x14:conditionalFormatting>
        <x14:conditionalFormatting xmlns:xm="http://schemas.microsoft.com/office/excel/2006/main">
          <x14:cfRule type="expression" priority="59" id="{0F16B65A-8AEF-4BC7-AC90-BDB2CEA9E88F}">
            <xm:f>入力シート!$F$22&lt;$B249</xm:f>
            <x14:dxf>
              <font>
                <color theme="1" tint="0.499984740745262"/>
              </font>
              <fill>
                <patternFill>
                  <bgColor theme="1" tint="0.499984740745262"/>
                </patternFill>
              </fill>
            </x14:dxf>
          </x14:cfRule>
          <xm:sqref>J249</xm:sqref>
        </x14:conditionalFormatting>
        <x14:conditionalFormatting xmlns:xm="http://schemas.microsoft.com/office/excel/2006/main">
          <x14:cfRule type="expression" priority="58" id="{1280E4A9-D929-4A24-B4FB-BAA57BA7ECA6}">
            <xm:f>入力シート!$F$22&lt;$B251</xm:f>
            <x14:dxf>
              <font>
                <color theme="1" tint="0.499984740745262"/>
              </font>
              <fill>
                <patternFill>
                  <bgColor theme="1" tint="0.499984740745262"/>
                </patternFill>
              </fill>
            </x14:dxf>
          </x14:cfRule>
          <xm:sqref>J251</xm:sqref>
        </x14:conditionalFormatting>
        <x14:conditionalFormatting xmlns:xm="http://schemas.microsoft.com/office/excel/2006/main">
          <x14:cfRule type="expression" priority="57" id="{CAADE01D-61C1-4BF7-891C-5BFFECBC29A2}">
            <xm:f>入力シート!$F$22&lt;$B253</xm:f>
            <x14:dxf>
              <font>
                <color theme="1" tint="0.499984740745262"/>
              </font>
              <fill>
                <patternFill>
                  <bgColor theme="1" tint="0.499984740745262"/>
                </patternFill>
              </fill>
            </x14:dxf>
          </x14:cfRule>
          <xm:sqref>J253</xm:sqref>
        </x14:conditionalFormatting>
        <x14:conditionalFormatting xmlns:xm="http://schemas.microsoft.com/office/excel/2006/main">
          <x14:cfRule type="expression" priority="56" id="{8B5E2063-5738-4640-8F69-1516C2A9FC7C}">
            <xm:f>入力シート!$F$22&lt;$B256</xm:f>
            <x14:dxf>
              <font>
                <color theme="1" tint="0.499984740745262"/>
              </font>
              <fill>
                <patternFill>
                  <bgColor theme="1" tint="0.499984740745262"/>
                </patternFill>
              </fill>
            </x14:dxf>
          </x14:cfRule>
          <xm:sqref>J256</xm:sqref>
        </x14:conditionalFormatting>
        <x14:conditionalFormatting xmlns:xm="http://schemas.microsoft.com/office/excel/2006/main">
          <x14:cfRule type="expression" priority="55" id="{0990C5AB-0ADA-47D3-AADA-CF0C0697FBFF}">
            <xm:f>入力シート!$F$22&lt;$B258</xm:f>
            <x14:dxf>
              <font>
                <color theme="1" tint="0.499984740745262"/>
              </font>
              <fill>
                <patternFill>
                  <bgColor theme="1" tint="0.499984740745262"/>
                </patternFill>
              </fill>
            </x14:dxf>
          </x14:cfRule>
          <xm:sqref>J258</xm:sqref>
        </x14:conditionalFormatting>
        <x14:conditionalFormatting xmlns:xm="http://schemas.microsoft.com/office/excel/2006/main">
          <x14:cfRule type="expression" priority="54" id="{D945C574-5D55-4FB7-BD15-43931C738BA5}">
            <xm:f>入力シート!$F$22&lt;$B260</xm:f>
            <x14:dxf>
              <font>
                <color theme="1" tint="0.499984740745262"/>
              </font>
              <fill>
                <patternFill>
                  <bgColor theme="1" tint="0.499984740745262"/>
                </patternFill>
              </fill>
            </x14:dxf>
          </x14:cfRule>
          <xm:sqref>J260</xm:sqref>
        </x14:conditionalFormatting>
        <x14:conditionalFormatting xmlns:xm="http://schemas.microsoft.com/office/excel/2006/main">
          <x14:cfRule type="expression" priority="53" id="{868637B9-287C-48E3-A5C4-D5F0DE2DF22E}">
            <xm:f>入力シート!$F$22&lt;$B263</xm:f>
            <x14:dxf>
              <font>
                <color theme="1" tint="0.499984740745262"/>
              </font>
              <fill>
                <patternFill>
                  <bgColor theme="1" tint="0.499984740745262"/>
                </patternFill>
              </fill>
            </x14:dxf>
          </x14:cfRule>
          <xm:sqref>J263</xm:sqref>
        </x14:conditionalFormatting>
        <x14:conditionalFormatting xmlns:xm="http://schemas.microsoft.com/office/excel/2006/main">
          <x14:cfRule type="expression" priority="52" id="{8C319C4E-7713-4CA9-93DE-C6FF34889DC2}">
            <xm:f>入力シート!$F$22&lt;$B265</xm:f>
            <x14:dxf>
              <font>
                <color theme="1" tint="0.499984740745262"/>
              </font>
              <fill>
                <patternFill>
                  <bgColor theme="1" tint="0.499984740745262"/>
                </patternFill>
              </fill>
            </x14:dxf>
          </x14:cfRule>
          <xm:sqref>J265</xm:sqref>
        </x14:conditionalFormatting>
        <x14:conditionalFormatting xmlns:xm="http://schemas.microsoft.com/office/excel/2006/main">
          <x14:cfRule type="expression" priority="51" id="{A0629D76-1FB3-4FDD-A4F1-AC9154BF4682}">
            <xm:f>入力シート!$F$22&lt;$B267</xm:f>
            <x14:dxf>
              <font>
                <color theme="1" tint="0.499984740745262"/>
              </font>
              <fill>
                <patternFill>
                  <bgColor theme="1" tint="0.499984740745262"/>
                </patternFill>
              </fill>
            </x14:dxf>
          </x14:cfRule>
          <xm:sqref>J267</xm:sqref>
        </x14:conditionalFormatting>
        <x14:conditionalFormatting xmlns:xm="http://schemas.microsoft.com/office/excel/2006/main">
          <x14:cfRule type="expression" priority="50" id="{2E5EE03A-DD86-4718-B519-BEEADBA03352}">
            <xm:f>入力シート!$F$22&lt;$B270</xm:f>
            <x14:dxf>
              <font>
                <color theme="1" tint="0.499984740745262"/>
              </font>
              <fill>
                <patternFill>
                  <bgColor theme="1" tint="0.499984740745262"/>
                </patternFill>
              </fill>
            </x14:dxf>
          </x14:cfRule>
          <xm:sqref>J270</xm:sqref>
        </x14:conditionalFormatting>
        <x14:conditionalFormatting xmlns:xm="http://schemas.microsoft.com/office/excel/2006/main">
          <x14:cfRule type="expression" priority="49" id="{F4559F8E-0EA9-40A7-B4B9-B09A811A7A23}">
            <xm:f>入力シート!$F$22&lt;$B272</xm:f>
            <x14:dxf>
              <font>
                <color theme="1" tint="0.499984740745262"/>
              </font>
              <fill>
                <patternFill>
                  <bgColor theme="1" tint="0.499984740745262"/>
                </patternFill>
              </fill>
            </x14:dxf>
          </x14:cfRule>
          <xm:sqref>J272</xm:sqref>
        </x14:conditionalFormatting>
        <x14:conditionalFormatting xmlns:xm="http://schemas.microsoft.com/office/excel/2006/main">
          <x14:cfRule type="expression" priority="48" id="{2DD76842-CBED-4A5D-AA3E-DDDFFB77EDC8}">
            <xm:f>入力シート!$F$22&lt;$B274</xm:f>
            <x14:dxf>
              <font>
                <color theme="1" tint="0.499984740745262"/>
              </font>
              <fill>
                <patternFill>
                  <bgColor theme="1" tint="0.499984740745262"/>
                </patternFill>
              </fill>
            </x14:dxf>
          </x14:cfRule>
          <xm:sqref>J274</xm:sqref>
        </x14:conditionalFormatting>
        <x14:conditionalFormatting xmlns:xm="http://schemas.microsoft.com/office/excel/2006/main">
          <x14:cfRule type="expression" priority="47" id="{296F580F-F116-443C-95CB-BF5C632DC06A}">
            <xm:f>入力シート!$F$22&lt;$B277</xm:f>
            <x14:dxf>
              <font>
                <color theme="1" tint="0.499984740745262"/>
              </font>
              <fill>
                <patternFill>
                  <bgColor theme="1" tint="0.499984740745262"/>
                </patternFill>
              </fill>
            </x14:dxf>
          </x14:cfRule>
          <xm:sqref>J277</xm:sqref>
        </x14:conditionalFormatting>
        <x14:conditionalFormatting xmlns:xm="http://schemas.microsoft.com/office/excel/2006/main">
          <x14:cfRule type="expression" priority="46" id="{151ACB03-884B-41EA-8C3D-75625AE8AB54}">
            <xm:f>入力シート!$F$22&lt;$B279</xm:f>
            <x14:dxf>
              <font>
                <color theme="1" tint="0.499984740745262"/>
              </font>
              <fill>
                <patternFill>
                  <bgColor theme="1" tint="0.499984740745262"/>
                </patternFill>
              </fill>
            </x14:dxf>
          </x14:cfRule>
          <xm:sqref>J279</xm:sqref>
        </x14:conditionalFormatting>
        <x14:conditionalFormatting xmlns:xm="http://schemas.microsoft.com/office/excel/2006/main">
          <x14:cfRule type="expression" priority="45" id="{8AF2E367-01E6-4DA7-BAE3-C9365F9C287E}">
            <xm:f>入力シート!$F$22&lt;$B281</xm:f>
            <x14:dxf>
              <font>
                <color theme="1" tint="0.499984740745262"/>
              </font>
              <fill>
                <patternFill>
                  <bgColor theme="1" tint="0.499984740745262"/>
                </patternFill>
              </fill>
            </x14:dxf>
          </x14:cfRule>
          <xm:sqref>J281</xm:sqref>
        </x14:conditionalFormatting>
        <x14:conditionalFormatting xmlns:xm="http://schemas.microsoft.com/office/excel/2006/main">
          <x14:cfRule type="expression" priority="44" id="{544D16AE-7CF4-4A39-9CB3-45E25FE86EC1}">
            <xm:f>入力シート!$F$22&lt;$B284</xm:f>
            <x14:dxf>
              <font>
                <color theme="1" tint="0.499984740745262"/>
              </font>
              <fill>
                <patternFill>
                  <bgColor theme="1" tint="0.499984740745262"/>
                </patternFill>
              </fill>
            </x14:dxf>
          </x14:cfRule>
          <xm:sqref>J284</xm:sqref>
        </x14:conditionalFormatting>
        <x14:conditionalFormatting xmlns:xm="http://schemas.microsoft.com/office/excel/2006/main">
          <x14:cfRule type="expression" priority="43" id="{772C1971-5B50-4B50-9C56-F06FC93075A2}">
            <xm:f>入力シート!$F$22&lt;$B286</xm:f>
            <x14:dxf>
              <font>
                <color theme="1" tint="0.499984740745262"/>
              </font>
              <fill>
                <patternFill>
                  <bgColor theme="1" tint="0.499984740745262"/>
                </patternFill>
              </fill>
            </x14:dxf>
          </x14:cfRule>
          <xm:sqref>J286</xm:sqref>
        </x14:conditionalFormatting>
        <x14:conditionalFormatting xmlns:xm="http://schemas.microsoft.com/office/excel/2006/main">
          <x14:cfRule type="expression" priority="42" id="{8AB25EA4-7815-4173-AC1F-5E0AC722CA60}">
            <xm:f>入力シート!$F$22&lt;$B288</xm:f>
            <x14:dxf>
              <font>
                <color theme="1" tint="0.499984740745262"/>
              </font>
              <fill>
                <patternFill>
                  <bgColor theme="1" tint="0.499984740745262"/>
                </patternFill>
              </fill>
            </x14:dxf>
          </x14:cfRule>
          <xm:sqref>J288</xm:sqref>
        </x14:conditionalFormatting>
        <x14:conditionalFormatting xmlns:xm="http://schemas.microsoft.com/office/excel/2006/main">
          <x14:cfRule type="expression" priority="41" id="{22277BC3-DC46-4610-A51C-83B591CFBFA8}">
            <xm:f>入力シート!$F$22&lt;$B291</xm:f>
            <x14:dxf>
              <font>
                <color theme="1" tint="0.499984740745262"/>
              </font>
              <fill>
                <patternFill>
                  <bgColor theme="1" tint="0.499984740745262"/>
                </patternFill>
              </fill>
            </x14:dxf>
          </x14:cfRule>
          <xm:sqref>J291</xm:sqref>
        </x14:conditionalFormatting>
        <x14:conditionalFormatting xmlns:xm="http://schemas.microsoft.com/office/excel/2006/main">
          <x14:cfRule type="expression" priority="40" id="{69121E99-9147-4D9E-8103-9CD9C366DC00}">
            <xm:f>入力シート!$F$22&lt;$B293</xm:f>
            <x14:dxf>
              <font>
                <color theme="1" tint="0.499984740745262"/>
              </font>
              <fill>
                <patternFill>
                  <bgColor theme="1" tint="0.499984740745262"/>
                </patternFill>
              </fill>
            </x14:dxf>
          </x14:cfRule>
          <xm:sqref>J293</xm:sqref>
        </x14:conditionalFormatting>
        <x14:conditionalFormatting xmlns:xm="http://schemas.microsoft.com/office/excel/2006/main">
          <x14:cfRule type="expression" priority="39" id="{5941CEA4-C0B5-4A15-A7F8-BB4FA7B20001}">
            <xm:f>入力シート!$F$22&lt;$B295</xm:f>
            <x14:dxf>
              <font>
                <color theme="1" tint="0.499984740745262"/>
              </font>
              <fill>
                <patternFill>
                  <bgColor theme="1" tint="0.499984740745262"/>
                </patternFill>
              </fill>
            </x14:dxf>
          </x14:cfRule>
          <xm:sqref>J295</xm:sqref>
        </x14:conditionalFormatting>
        <x14:conditionalFormatting xmlns:xm="http://schemas.microsoft.com/office/excel/2006/main">
          <x14:cfRule type="expression" priority="38" id="{4B07245E-4F8D-42D5-AA10-6CCF42DF23A9}">
            <xm:f>入力シート!$F$22&lt;$B298</xm:f>
            <x14:dxf>
              <font>
                <color theme="1" tint="0.499984740745262"/>
              </font>
              <fill>
                <patternFill>
                  <bgColor theme="1" tint="0.499984740745262"/>
                </patternFill>
              </fill>
            </x14:dxf>
          </x14:cfRule>
          <xm:sqref>J298</xm:sqref>
        </x14:conditionalFormatting>
        <x14:conditionalFormatting xmlns:xm="http://schemas.microsoft.com/office/excel/2006/main">
          <x14:cfRule type="expression" priority="37" id="{F866589A-6ADA-4A60-AACF-37C70BA38874}">
            <xm:f>入力シート!$F$22&lt;$B300</xm:f>
            <x14:dxf>
              <font>
                <color theme="1" tint="0.499984740745262"/>
              </font>
              <fill>
                <patternFill>
                  <bgColor theme="1" tint="0.499984740745262"/>
                </patternFill>
              </fill>
            </x14:dxf>
          </x14:cfRule>
          <xm:sqref>J300</xm:sqref>
        </x14:conditionalFormatting>
        <x14:conditionalFormatting xmlns:xm="http://schemas.microsoft.com/office/excel/2006/main">
          <x14:cfRule type="expression" priority="36" id="{B7049C47-7393-4F03-A19F-C87595ADD629}">
            <xm:f>入力シート!$F$22&lt;$B302</xm:f>
            <x14:dxf>
              <font>
                <color theme="1" tint="0.499984740745262"/>
              </font>
              <fill>
                <patternFill>
                  <bgColor theme="1" tint="0.499984740745262"/>
                </patternFill>
              </fill>
            </x14:dxf>
          </x14:cfRule>
          <xm:sqref>J302</xm:sqref>
        </x14:conditionalFormatting>
        <x14:conditionalFormatting xmlns:xm="http://schemas.microsoft.com/office/excel/2006/main">
          <x14:cfRule type="expression" priority="522" id="{A1FFBAD4-3544-4639-BC39-6DFC28D72B15}">
            <xm:f>入力シート!$F$22&lt;$B355</xm:f>
            <x14:dxf>
              <fill>
                <patternFill>
                  <bgColor theme="1" tint="0.499984740745262"/>
                </patternFill>
              </fill>
            </x14:dxf>
          </x14:cfRule>
          <xm:sqref>J355</xm:sqref>
        </x14:conditionalFormatting>
        <x14:conditionalFormatting xmlns:xm="http://schemas.microsoft.com/office/excel/2006/main">
          <x14:cfRule type="expression" priority="517" id="{A9AA5588-C453-47D9-BD4F-62E409D7BCD6}">
            <xm:f>入力シート!$F$22&lt;$B369</xm:f>
            <x14:dxf>
              <fill>
                <patternFill>
                  <bgColor theme="1" tint="0.499984740745262"/>
                </patternFill>
              </fill>
            </x14:dxf>
          </x14:cfRule>
          <xm:sqref>J369</xm:sqref>
        </x14:conditionalFormatting>
        <x14:conditionalFormatting xmlns:xm="http://schemas.microsoft.com/office/excel/2006/main">
          <x14:cfRule type="expression" priority="512" id="{8BA898A9-AB14-4E72-93CB-C0A9335B0046}">
            <xm:f>入力シート!$F$22&lt;$B383</xm:f>
            <x14:dxf>
              <fill>
                <patternFill>
                  <bgColor theme="1" tint="0.499984740745262"/>
                </patternFill>
              </fill>
            </x14:dxf>
          </x14:cfRule>
          <xm:sqref>J383</xm:sqref>
        </x14:conditionalFormatting>
        <x14:conditionalFormatting xmlns:xm="http://schemas.microsoft.com/office/excel/2006/main">
          <x14:cfRule type="expression" priority="507" id="{744C1AE3-BA96-4AAA-8B3C-54E389D0FD00}">
            <xm:f>入力シート!$F$22&lt;$B397</xm:f>
            <x14:dxf>
              <fill>
                <patternFill>
                  <bgColor theme="1" tint="0.499984740745262"/>
                </patternFill>
              </fill>
            </x14:dxf>
          </x14:cfRule>
          <xm:sqref>J397</xm:sqref>
        </x14:conditionalFormatting>
        <x14:conditionalFormatting xmlns:xm="http://schemas.microsoft.com/office/excel/2006/main">
          <x14:cfRule type="expression" priority="502" id="{5A61031F-55A2-4F92-A3DC-AF57ED006EA7}">
            <xm:f>入力シート!$F$22&lt;$B411</xm:f>
            <x14:dxf>
              <fill>
                <patternFill>
                  <bgColor theme="1" tint="0.499984740745262"/>
                </patternFill>
              </fill>
            </x14:dxf>
          </x14:cfRule>
          <xm:sqref>J411</xm:sqref>
        </x14:conditionalFormatting>
        <x14:conditionalFormatting xmlns:xm="http://schemas.microsoft.com/office/excel/2006/main">
          <x14:cfRule type="expression" priority="497" id="{8DD88160-72B6-4B72-854D-DE2F15BEDE32}">
            <xm:f>入力シート!$F$22&lt;$B425</xm:f>
            <x14:dxf>
              <fill>
                <patternFill>
                  <bgColor theme="1" tint="0.499984740745262"/>
                </patternFill>
              </fill>
            </x14:dxf>
          </x14:cfRule>
          <xm:sqref>J425</xm:sqref>
        </x14:conditionalFormatting>
        <x14:conditionalFormatting xmlns:xm="http://schemas.microsoft.com/office/excel/2006/main">
          <x14:cfRule type="expression" priority="492" id="{2E037CE0-9BEB-49B0-9BBC-2B98684254AD}">
            <xm:f>入力シート!$F$22&lt;$B439</xm:f>
            <x14:dxf>
              <fill>
                <patternFill>
                  <bgColor theme="1" tint="0.499984740745262"/>
                </patternFill>
              </fill>
            </x14:dxf>
          </x14:cfRule>
          <xm:sqref>J439</xm:sqref>
        </x14:conditionalFormatting>
        <x14:conditionalFormatting xmlns:xm="http://schemas.microsoft.com/office/excel/2006/main">
          <x14:cfRule type="expression" priority="487" id="{2655A365-4A64-4B61-811B-BBCB39CE1342}">
            <xm:f>入力シート!$F$22&lt;$B453</xm:f>
            <x14:dxf>
              <fill>
                <patternFill>
                  <bgColor theme="1" tint="0.499984740745262"/>
                </patternFill>
              </fill>
            </x14:dxf>
          </x14:cfRule>
          <xm:sqref>J453</xm:sqref>
        </x14:conditionalFormatting>
        <x14:conditionalFormatting xmlns:xm="http://schemas.microsoft.com/office/excel/2006/main">
          <x14:cfRule type="expression" priority="482" id="{737D8033-6E67-4DE3-B589-3211A679AD22}">
            <xm:f>入力シート!$F$22&lt;$B467</xm:f>
            <x14:dxf>
              <fill>
                <patternFill>
                  <bgColor theme="1" tint="0.499984740745262"/>
                </patternFill>
              </fill>
            </x14:dxf>
          </x14:cfRule>
          <xm:sqref>J467</xm:sqref>
        </x14:conditionalFormatting>
        <x14:conditionalFormatting xmlns:xm="http://schemas.microsoft.com/office/excel/2006/main">
          <x14:cfRule type="expression" priority="477" id="{598A29BC-C20F-49C0-8D23-84723AC44204}">
            <xm:f>入力シート!$F$22&lt;$B481</xm:f>
            <x14:dxf>
              <fill>
                <patternFill>
                  <bgColor theme="1" tint="0.499984740745262"/>
                </patternFill>
              </fill>
            </x14:dxf>
          </x14:cfRule>
          <xm:sqref>J481</xm:sqref>
        </x14:conditionalFormatting>
        <x14:conditionalFormatting xmlns:xm="http://schemas.microsoft.com/office/excel/2006/main">
          <x14:cfRule type="expression" priority="472" id="{646697CB-524A-434A-BC6C-471387332EA1}">
            <xm:f>入力シート!$F$22&lt;$B495</xm:f>
            <x14:dxf>
              <fill>
                <patternFill>
                  <bgColor theme="1" tint="0.499984740745262"/>
                </patternFill>
              </fill>
            </x14:dxf>
          </x14:cfRule>
          <xm:sqref>J495</xm:sqref>
        </x14:conditionalFormatting>
        <x14:conditionalFormatting xmlns:xm="http://schemas.microsoft.com/office/excel/2006/main">
          <x14:cfRule type="expression" priority="467" id="{E683D3C7-95FD-4941-92DA-DF2027504A72}">
            <xm:f>入力シート!$F$22&lt;$B509</xm:f>
            <x14:dxf>
              <fill>
                <patternFill>
                  <bgColor theme="1" tint="0.499984740745262"/>
                </patternFill>
              </fill>
            </x14:dxf>
          </x14:cfRule>
          <xm:sqref>J509</xm:sqref>
        </x14:conditionalFormatting>
        <x14:conditionalFormatting xmlns:xm="http://schemas.microsoft.com/office/excel/2006/main">
          <x14:cfRule type="expression" priority="462" id="{29A76AB8-8300-4ECE-9B54-225537B930F5}">
            <xm:f>入力シート!$F$22&lt;$B523</xm:f>
            <x14:dxf>
              <fill>
                <patternFill>
                  <bgColor theme="1" tint="0.499984740745262"/>
                </patternFill>
              </fill>
            </x14:dxf>
          </x14:cfRule>
          <xm:sqref>J523</xm:sqref>
        </x14:conditionalFormatting>
        <x14:conditionalFormatting xmlns:xm="http://schemas.microsoft.com/office/excel/2006/main">
          <x14:cfRule type="expression" priority="924" id="{F7F03190-7516-41A3-899F-D0E6A433BCEB}">
            <xm:f>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F332:H332 J332 L332 F334:H334 J334 L334 F337:H337 J337 F339:H339 J339 L339 F341:H341 J341 L341 F344:H344 J344 F346:H346 J346 L346 F348:H348 J348 L348 J351 F353:H353 J353 L353 F355:H355 L355 F358:H358 J358 F360:H360 J360 L360 F362:H362 J362 L362 J365 F367:H367 J367 L367 F369:H369 L369 F372:H372 J372 F374:H374 J374 L374 F376:H376 J376 L376 J379 F381:H381 J381 L381 F383:H383 L383 F386:H386 J386 F388:H388 J388 L388 F390:H390 J390 L390 J393 F395:H395 J395 L395 F397:H397 L397 F400:H400 J400 F402:H402 J402 L402 F404:H404 J404 L404 J407 F409:H409 J409 L409 F411:H411 L411 F414:H414 J414 F416:H416 J416 L416 F418:H418 J418 L418 J421 F423:H423 J423 L423 F425:H425 L425 F428:H428 J428 F430:H430 J430 L430 F432:H432 J432 L432 J435 F437:H437 J437 L437 F439:H439 L439 F442:H442 J442 F444:H444 J444 L444 F446:H446 J446 L446 J449 F451:H451 J451 L451 F453:H453 L453 F456:H456 J456 F458:H458 J458 L458 F460:H460 J460 L460 J463 F465:H465 J465 L465 F467:H467 L467 F470:H470 J470 F472:H472 J472 L472 F474:H474 J474 L474 J477 F479:H479 J479 L479 F481:H481 L481 F484:H484 J484 F486:H486 J486 L486 F488:H488 J488 L488 J491 F493:H493 J493 L493 F495:H495 L495 F498:H498 J498 F500:H500 J500 L500 F502:H502 J502 L502 J505 F507:H507 J507 L507 F509:H509 L509 F512:H512 J512 F514:H514 J514 L514 F516:H516 J516 L516 J519 F521:H521 J521 L521 F523:H523 L523 F526:H526 J526 F528:H528 J528 L528 F530:H530 J530 L530</xm:sqref>
        </x14:conditionalFormatting>
        <x14:conditionalFormatting xmlns:xm="http://schemas.microsoft.com/office/excel/2006/main">
          <x14:cfRule type="expression" priority="835" id="{1F09CFCF-5313-4B59-AB25-50C185AC3CA4}">
            <xm:f>入力シート!$F$22&lt;$B351</xm:f>
            <x14:dxf>
              <fill>
                <patternFill>
                  <bgColor theme="1" tint="0.499984740745262"/>
                </patternFill>
              </fill>
            </x14:dxf>
          </x14:cfRule>
          <xm:sqref>P351</xm:sqref>
        </x14:conditionalFormatting>
        <x14:conditionalFormatting xmlns:xm="http://schemas.microsoft.com/office/excel/2006/main">
          <x14:cfRule type="expression" priority="832" id="{75067BF8-21F0-4DB3-934C-98893455990C}">
            <xm:f>入力シート!$F$22&lt;$B365</xm:f>
            <x14:dxf>
              <fill>
                <patternFill>
                  <bgColor theme="1" tint="0.499984740745262"/>
                </patternFill>
              </fill>
            </x14:dxf>
          </x14:cfRule>
          <xm:sqref>P365</xm:sqref>
        </x14:conditionalFormatting>
        <x14:conditionalFormatting xmlns:xm="http://schemas.microsoft.com/office/excel/2006/main">
          <x14:cfRule type="expression" priority="829" id="{153D388B-8B98-4F93-A6B2-A2CB5F0F0A9D}">
            <xm:f>入力シート!$F$22&lt;$B379</xm:f>
            <x14:dxf>
              <fill>
                <patternFill>
                  <bgColor theme="1" tint="0.499984740745262"/>
                </patternFill>
              </fill>
            </x14:dxf>
          </x14:cfRule>
          <xm:sqref>P379</xm:sqref>
        </x14:conditionalFormatting>
        <x14:conditionalFormatting xmlns:xm="http://schemas.microsoft.com/office/excel/2006/main">
          <x14:cfRule type="expression" priority="826" id="{46C9DE8F-0298-4B04-918D-B8F91C13F7CF}">
            <xm:f>入力シート!$F$22&lt;$B393</xm:f>
            <x14:dxf>
              <fill>
                <patternFill>
                  <bgColor theme="1" tint="0.499984740745262"/>
                </patternFill>
              </fill>
            </x14:dxf>
          </x14:cfRule>
          <xm:sqref>P393</xm:sqref>
        </x14:conditionalFormatting>
        <x14:conditionalFormatting xmlns:xm="http://schemas.microsoft.com/office/excel/2006/main">
          <x14:cfRule type="expression" priority="823" id="{B981CDDC-5D11-4B68-A6CE-1F25FD143C49}">
            <xm:f>入力シート!$F$22&lt;$B407</xm:f>
            <x14:dxf>
              <fill>
                <patternFill>
                  <bgColor theme="1" tint="0.499984740745262"/>
                </patternFill>
              </fill>
            </x14:dxf>
          </x14:cfRule>
          <xm:sqref>P407</xm:sqref>
        </x14:conditionalFormatting>
        <x14:conditionalFormatting xmlns:xm="http://schemas.microsoft.com/office/excel/2006/main">
          <x14:cfRule type="expression" priority="820" id="{E710E0A3-D5A1-4128-94A3-C33B3A1A18D7}">
            <xm:f>入力シート!$F$22&lt;$B421</xm:f>
            <x14:dxf>
              <fill>
                <patternFill>
                  <bgColor theme="1" tint="0.499984740745262"/>
                </patternFill>
              </fill>
            </x14:dxf>
          </x14:cfRule>
          <xm:sqref>P421</xm:sqref>
        </x14:conditionalFormatting>
        <x14:conditionalFormatting xmlns:xm="http://schemas.microsoft.com/office/excel/2006/main">
          <x14:cfRule type="expression" priority="817" id="{3762DB3E-012F-48B6-9F47-7C9C5364B2CF}">
            <xm:f>入力シート!$F$22&lt;$B435</xm:f>
            <x14:dxf>
              <fill>
                <patternFill>
                  <bgColor theme="1" tint="0.499984740745262"/>
                </patternFill>
              </fill>
            </x14:dxf>
          </x14:cfRule>
          <xm:sqref>P435</xm:sqref>
        </x14:conditionalFormatting>
        <x14:conditionalFormatting xmlns:xm="http://schemas.microsoft.com/office/excel/2006/main">
          <x14:cfRule type="expression" priority="814" id="{2A0B2B48-9DB4-4F6E-968C-EFB29AE7F190}">
            <xm:f>入力シート!$F$22&lt;$B449</xm:f>
            <x14:dxf>
              <fill>
                <patternFill>
                  <bgColor theme="1" tint="0.499984740745262"/>
                </patternFill>
              </fill>
            </x14:dxf>
          </x14:cfRule>
          <xm:sqref>P449</xm:sqref>
        </x14:conditionalFormatting>
        <x14:conditionalFormatting xmlns:xm="http://schemas.microsoft.com/office/excel/2006/main">
          <x14:cfRule type="expression" priority="811" id="{3E5AFF5E-F552-44C5-8F04-A947E9DE71D4}">
            <xm:f>入力シート!$F$22&lt;$B463</xm:f>
            <x14:dxf>
              <fill>
                <patternFill>
                  <bgColor theme="1" tint="0.499984740745262"/>
                </patternFill>
              </fill>
            </x14:dxf>
          </x14:cfRule>
          <xm:sqref>P463</xm:sqref>
        </x14:conditionalFormatting>
        <x14:conditionalFormatting xmlns:xm="http://schemas.microsoft.com/office/excel/2006/main">
          <x14:cfRule type="expression" priority="808" id="{8C5E9B74-8BFB-4FDE-BC95-848C521F5B46}">
            <xm:f>入力シート!$F$22&lt;$B477</xm:f>
            <x14:dxf>
              <fill>
                <patternFill>
                  <bgColor theme="1" tint="0.499984740745262"/>
                </patternFill>
              </fill>
            </x14:dxf>
          </x14:cfRule>
          <xm:sqref>P477</xm:sqref>
        </x14:conditionalFormatting>
        <x14:conditionalFormatting xmlns:xm="http://schemas.microsoft.com/office/excel/2006/main">
          <x14:cfRule type="expression" priority="805" id="{20AAF0F8-5437-4C3F-8EFE-774A8C3790E0}">
            <xm:f>入力シート!$F$22&lt;$B491</xm:f>
            <x14:dxf>
              <fill>
                <patternFill>
                  <bgColor theme="1" tint="0.499984740745262"/>
                </patternFill>
              </fill>
            </x14:dxf>
          </x14:cfRule>
          <xm:sqref>P491</xm:sqref>
        </x14:conditionalFormatting>
        <x14:conditionalFormatting xmlns:xm="http://schemas.microsoft.com/office/excel/2006/main">
          <x14:cfRule type="expression" priority="802" id="{053B74E7-88A3-4852-9D6F-707C21ECA4D9}">
            <xm:f>入力シート!$F$22&lt;$B505</xm:f>
            <x14:dxf>
              <fill>
                <patternFill>
                  <bgColor theme="1" tint="0.499984740745262"/>
                </patternFill>
              </fill>
            </x14:dxf>
          </x14:cfRule>
          <xm:sqref>P505</xm:sqref>
        </x14:conditionalFormatting>
        <x14:conditionalFormatting xmlns:xm="http://schemas.microsoft.com/office/excel/2006/main">
          <x14:cfRule type="expression" priority="799" id="{8006F9F8-F9E0-48C5-8E99-5E022DD7BF3A}">
            <xm:f>入力シート!$F$22&lt;$B519</xm:f>
            <x14:dxf>
              <fill>
                <patternFill>
                  <bgColor theme="1" tint="0.499984740745262"/>
                </patternFill>
              </fill>
            </x14:dxf>
          </x14:cfRule>
          <xm:sqref>P519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プルダウン!$G$2:$G$3</xm:f>
          </x14:formula1>
          <xm:sqref>F330 F332 F334 F337 F339 F341 F344 F346 F348 F351 F353 F355 F358 F360 F362 F365 F367 F369 F372 F374 F376 F379 F381 F383 F386 F388 F390 F393 F395 F397 F400 F402 F404 F407 F409 F411 F414 F416 F418 F421 F423 F425 F428 F430 F432 F435 F437 F439 F442 F444 F446 F449 F451 F453 F456 F458 F460 F463 F465 F467 F470 F472 F474 F477 F479 F481 F484 F486 F488 F491 F493 F495 F498 F500 F502 F505 F507 F509 F512 F514 F516 F519 F521 F523 F526 F528 F530</xm:sqref>
        </x14:dataValidation>
        <x14:dataValidation type="list" allowBlank="1" showInputMessage="1" showErrorMessage="1" xr:uid="{00000000-0002-0000-0100-000007000000}">
          <x14:formula1>
            <xm:f>プルダウン!$A$2:$A$48</xm:f>
          </x14:formula1>
          <xm:sqref>P23 P25 P27 P29 P31 P33 P35 P37 P39 P41 P43 P45 P47 P49 P51 P53 P55 P57 P59 P61 P63 P65 P67 P69 P71 P73 P75 P77 P79</xm:sqref>
        </x14:dataValidation>
        <x14:dataValidation type="list" imeMode="disabled" allowBlank="1" showInputMessage="1" showErrorMessage="1" xr:uid="{7A2A9477-1EFD-43CC-ADC3-FC2FDCD292F7}">
          <x14:formula1>
            <xm:f>補助対象研修一覧!$A$2:$A$1048576</xm:f>
          </x14:formula1>
          <xm:sqref>F102 F200 F202 F204 F207 F209 F211 F214 F216 F218 F221 F223 F225 F228 F230 F232 F235 F237 F239 F242 F244 F246 F249 F251 F253 F256 F258 F260 F263 F265 F267 F270 F272 F274 F277 F279 F281 F284 F286 F288 F291 F293 F295 F298 F300 F302 F195 F197 F193 F118 F123 F125 F127 F130 F132 F134 F137 F139 F141 F144 F146 F148 F151 F153 F155 F158 F160 F162 F165 F167 F169 F172 F174 F176 F179 F181 F183 F186 F188 F190 F120 F116 F113 F111 F109 F106 F104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A81AF-C44D-458A-999D-0897AF1553CB}">
  <sheetPr>
    <tabColor theme="8" tint="0.59999389629810485"/>
  </sheetPr>
  <dimension ref="A1:AW35"/>
  <sheetViews>
    <sheetView showGridLines="0" topLeftCell="I1" workbookViewId="0">
      <selection activeCell="X95" sqref="X95:AO95"/>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16384" width="9" style="20"/>
  </cols>
  <sheetData>
    <row r="1" spans="7:42" x14ac:dyDescent="0.2">
      <c r="J1" s="20" t="s">
        <v>83</v>
      </c>
    </row>
    <row r="2" spans="7:42" x14ac:dyDescent="0.2">
      <c r="J2" s="20" t="s">
        <v>84</v>
      </c>
    </row>
    <row r="3" spans="7:42" ht="17.100000000000001" customHeight="1" x14ac:dyDescent="0.2">
      <c r="J3" s="20" t="s">
        <v>85</v>
      </c>
      <c r="X3" s="253" t="str">
        <f>IF(N29&lt;&gt;0,N29,"")</f>
        <v/>
      </c>
      <c r="Y3" s="253"/>
      <c r="Z3" s="253"/>
      <c r="AA3" s="253"/>
      <c r="AB3" s="253"/>
      <c r="AC3" s="253"/>
      <c r="AD3" s="253"/>
      <c r="AE3" s="253"/>
      <c r="AF3" s="253"/>
      <c r="AG3" s="253"/>
      <c r="AH3" s="253"/>
      <c r="AI3" s="49"/>
      <c r="AJ3" s="49"/>
      <c r="AM3" s="20" t="s">
        <v>86</v>
      </c>
    </row>
    <row r="4" spans="7:42" ht="17.100000000000001" customHeight="1" x14ac:dyDescent="0.2">
      <c r="J4" s="20" t="s">
        <v>87</v>
      </c>
      <c r="X4" s="253" t="str">
        <f>IF(W29&lt;&gt;0,W29,"")</f>
        <v/>
      </c>
      <c r="Y4" s="253"/>
      <c r="Z4" s="253"/>
      <c r="AA4" s="253"/>
      <c r="AB4" s="253"/>
      <c r="AC4" s="253"/>
      <c r="AD4" s="253"/>
      <c r="AE4" s="253"/>
      <c r="AF4" s="253"/>
      <c r="AG4" s="253"/>
      <c r="AH4" s="253"/>
      <c r="AI4" s="49"/>
      <c r="AJ4" s="49"/>
      <c r="AM4" s="20" t="s">
        <v>86</v>
      </c>
      <c r="AN4" s="62" t="str">
        <f>IF(SUM(中間シート!$E$281:$E$370)=0,"",IF(SUM(中間シート!$E$281:$E$370)&gt;30,"←この値は使用しません。様式第１（30事業場90台）シートを参考ください！",IF(OR(SUM(中間シート!$E$281:$E$370)&gt;=3,中間シート!G3&gt;=3),"←この値は使用しません。様式第１（10事業場30台）シートを参考ください！","←この値を申請の補助対象経費欄に記載してください")))</f>
        <v/>
      </c>
      <c r="AP4" s="61"/>
    </row>
    <row r="6" spans="7:42" x14ac:dyDescent="0.2">
      <c r="J6" s="20" t="s">
        <v>306</v>
      </c>
    </row>
    <row r="8" spans="7:42" x14ac:dyDescent="0.2">
      <c r="J8" s="20" t="s">
        <v>511</v>
      </c>
    </row>
    <row r="9" spans="7:42" ht="16.5" customHeight="1" x14ac:dyDescent="0.2">
      <c r="J9" s="248" t="s">
        <v>89</v>
      </c>
      <c r="K9" s="248"/>
      <c r="L9" s="248"/>
      <c r="M9" s="248"/>
      <c r="N9" s="254" t="s">
        <v>510</v>
      </c>
      <c r="O9" s="254"/>
      <c r="P9" s="254"/>
      <c r="Q9" s="254"/>
      <c r="R9" s="254"/>
      <c r="S9" s="254"/>
      <c r="T9" s="254"/>
      <c r="U9" s="254"/>
      <c r="V9" s="254"/>
      <c r="W9" s="254"/>
      <c r="X9" s="248" t="s">
        <v>91</v>
      </c>
      <c r="Y9" s="248"/>
      <c r="Z9" s="248"/>
      <c r="AA9" s="248"/>
      <c r="AB9" s="248"/>
      <c r="AC9" s="248"/>
      <c r="AD9" s="248"/>
      <c r="AE9" s="248"/>
      <c r="AF9" s="248"/>
      <c r="AG9" s="248"/>
      <c r="AH9" s="248"/>
      <c r="AI9" s="248"/>
      <c r="AJ9" s="248"/>
      <c r="AK9" s="248"/>
      <c r="AL9" s="248"/>
      <c r="AM9" s="248"/>
      <c r="AN9" s="248"/>
      <c r="AO9" s="248"/>
      <c r="AP9" s="248"/>
    </row>
    <row r="10" spans="7:42" ht="16.5" customHeight="1" x14ac:dyDescent="0.2">
      <c r="J10" s="248"/>
      <c r="K10" s="248"/>
      <c r="L10" s="248"/>
      <c r="M10" s="248"/>
      <c r="N10" s="254"/>
      <c r="O10" s="254"/>
      <c r="P10" s="254"/>
      <c r="Q10" s="254"/>
      <c r="R10" s="254"/>
      <c r="S10" s="254"/>
      <c r="T10" s="254"/>
      <c r="U10" s="254"/>
      <c r="V10" s="254"/>
      <c r="W10" s="254"/>
      <c r="X10" s="248"/>
      <c r="Y10" s="248"/>
      <c r="Z10" s="248"/>
      <c r="AA10" s="248"/>
      <c r="AB10" s="248"/>
      <c r="AC10" s="248"/>
      <c r="AD10" s="248"/>
      <c r="AE10" s="248"/>
      <c r="AF10" s="248"/>
      <c r="AG10" s="248"/>
      <c r="AH10" s="248"/>
      <c r="AI10" s="248"/>
      <c r="AJ10" s="248"/>
      <c r="AK10" s="248"/>
      <c r="AL10" s="248"/>
      <c r="AM10" s="248"/>
      <c r="AN10" s="248"/>
      <c r="AO10" s="248"/>
      <c r="AP10" s="248"/>
    </row>
    <row r="11" spans="7:42" ht="16.5" customHeight="1" x14ac:dyDescent="0.2">
      <c r="J11" s="248"/>
      <c r="K11" s="248"/>
      <c r="L11" s="248"/>
      <c r="M11" s="248"/>
      <c r="N11" s="254"/>
      <c r="O11" s="254"/>
      <c r="P11" s="254"/>
      <c r="Q11" s="254"/>
      <c r="R11" s="254"/>
      <c r="S11" s="254"/>
      <c r="T11" s="254"/>
      <c r="U11" s="254"/>
      <c r="V11" s="254"/>
      <c r="W11" s="254"/>
      <c r="X11" s="248"/>
      <c r="Y11" s="248"/>
      <c r="Z11" s="248"/>
      <c r="AA11" s="248"/>
      <c r="AB11" s="248"/>
      <c r="AC11" s="248"/>
      <c r="AD11" s="248"/>
      <c r="AE11" s="248"/>
      <c r="AF11" s="248"/>
      <c r="AG11" s="248"/>
      <c r="AH11" s="248"/>
      <c r="AI11" s="248"/>
      <c r="AJ11" s="248"/>
      <c r="AK11" s="248"/>
      <c r="AL11" s="248"/>
      <c r="AM11" s="248"/>
      <c r="AN11" s="248"/>
      <c r="AO11" s="248"/>
      <c r="AP11" s="248"/>
    </row>
    <row r="12" spans="7:42" ht="16.5" customHeight="1" x14ac:dyDescent="0.2">
      <c r="J12" s="248"/>
      <c r="K12" s="248"/>
      <c r="L12" s="248"/>
      <c r="M12" s="248"/>
      <c r="N12" s="254"/>
      <c r="O12" s="254"/>
      <c r="P12" s="254"/>
      <c r="Q12" s="254"/>
      <c r="R12" s="254"/>
      <c r="S12" s="254"/>
      <c r="T12" s="254"/>
      <c r="U12" s="254"/>
      <c r="V12" s="254"/>
      <c r="W12" s="254"/>
      <c r="X12" s="248"/>
      <c r="Y12" s="248"/>
      <c r="Z12" s="248"/>
      <c r="AA12" s="248"/>
      <c r="AB12" s="248"/>
      <c r="AC12" s="248"/>
      <c r="AD12" s="248"/>
      <c r="AE12" s="248"/>
      <c r="AF12" s="248"/>
      <c r="AG12" s="248"/>
      <c r="AH12" s="248"/>
      <c r="AI12" s="248"/>
      <c r="AJ12" s="248"/>
      <c r="AK12" s="248"/>
      <c r="AL12" s="248"/>
      <c r="AM12" s="248"/>
      <c r="AN12" s="248"/>
      <c r="AO12" s="248"/>
      <c r="AP12" s="248"/>
    </row>
    <row r="13" spans="7:42" ht="16.5" customHeight="1" x14ac:dyDescent="0.2">
      <c r="J13" s="248"/>
      <c r="K13" s="248"/>
      <c r="L13" s="248"/>
      <c r="M13" s="248"/>
      <c r="N13" s="254"/>
      <c r="O13" s="254"/>
      <c r="P13" s="254"/>
      <c r="Q13" s="254"/>
      <c r="R13" s="254"/>
      <c r="S13" s="254"/>
      <c r="T13" s="254"/>
      <c r="U13" s="254"/>
      <c r="V13" s="254"/>
      <c r="W13" s="254"/>
      <c r="X13" s="248"/>
      <c r="Y13" s="248"/>
      <c r="Z13" s="248"/>
      <c r="AA13" s="248"/>
      <c r="AB13" s="248"/>
      <c r="AC13" s="248"/>
      <c r="AD13" s="248"/>
      <c r="AE13" s="248"/>
      <c r="AF13" s="248"/>
      <c r="AG13" s="248"/>
      <c r="AH13" s="248"/>
      <c r="AI13" s="248"/>
      <c r="AJ13" s="248"/>
      <c r="AK13" s="248"/>
      <c r="AL13" s="248"/>
      <c r="AM13" s="248"/>
      <c r="AN13" s="248"/>
      <c r="AO13" s="248"/>
      <c r="AP13" s="248"/>
    </row>
    <row r="14" spans="7:42" ht="17.100000000000001" customHeight="1" x14ac:dyDescent="0.2">
      <c r="G14" s="20">
        <v>1</v>
      </c>
      <c r="H14" s="20">
        <v>1</v>
      </c>
      <c r="J14" s="248" t="s">
        <v>92</v>
      </c>
      <c r="K14" s="248"/>
      <c r="L14" s="248"/>
      <c r="M14" s="248"/>
      <c r="N14" s="249" t="str">
        <f>IF(H14=1,中間シート!G4,"")</f>
        <v/>
      </c>
      <c r="O14" s="249"/>
      <c r="P14" s="249"/>
      <c r="Q14" s="249"/>
      <c r="R14" s="249"/>
      <c r="S14" s="249"/>
      <c r="T14" s="249"/>
      <c r="U14" s="249"/>
      <c r="V14" s="249"/>
      <c r="W14" s="249"/>
      <c r="X14" s="51" t="s">
        <v>93</v>
      </c>
      <c r="Y14" s="250" t="str">
        <f>IF(H14=1,IF(AND(中間シート!G5&lt;&gt;"",中間シート!H5&lt;&gt;""),中間シート!G5&amp;"-"&amp;中間シート!H5,""),"")</f>
        <v/>
      </c>
      <c r="Z14" s="250"/>
      <c r="AA14" s="250"/>
      <c r="AB14" s="251" t="str">
        <f>IF(H14=1,中間シート!G6&amp;中間シート!G7&amp;中間シート!G8&amp;中間シート!G9,"")</f>
        <v/>
      </c>
      <c r="AC14" s="251"/>
      <c r="AD14" s="251"/>
      <c r="AE14" s="251"/>
      <c r="AF14" s="251"/>
      <c r="AG14" s="251"/>
      <c r="AH14" s="251"/>
      <c r="AI14" s="251"/>
      <c r="AJ14" s="251"/>
      <c r="AK14" s="251"/>
      <c r="AL14" s="251"/>
      <c r="AM14" s="251"/>
      <c r="AN14" s="251"/>
      <c r="AO14" s="251"/>
      <c r="AP14" s="252"/>
    </row>
    <row r="15" spans="7:42" ht="17.100000000000001" customHeight="1" x14ac:dyDescent="0.2">
      <c r="G15" s="20">
        <v>2</v>
      </c>
      <c r="H15" s="20">
        <f>IF(G15&lt;=中間シート!$G$3,1,0)</f>
        <v>0</v>
      </c>
      <c r="J15" s="248" t="s">
        <v>94</v>
      </c>
      <c r="K15" s="248"/>
      <c r="L15" s="248"/>
      <c r="M15" s="248"/>
      <c r="N15" s="249" t="str">
        <f>IF(H15=1,中間シート!G10,"")</f>
        <v/>
      </c>
      <c r="O15" s="249"/>
      <c r="P15" s="249"/>
      <c r="Q15" s="249"/>
      <c r="R15" s="249"/>
      <c r="S15" s="249"/>
      <c r="T15" s="249"/>
      <c r="U15" s="249"/>
      <c r="V15" s="249"/>
      <c r="W15" s="249"/>
      <c r="X15" s="51" t="s">
        <v>93</v>
      </c>
      <c r="Y15" s="250" t="str">
        <f>IF(H15=1,IF(AND(中間シート!G11&lt;&gt;"",中間シート!H11&lt;&gt;""),中間シート!G11&amp;"-"&amp;中間シート!H11,""),"")</f>
        <v/>
      </c>
      <c r="Z15" s="250"/>
      <c r="AA15" s="250"/>
      <c r="AB15" s="251" t="str">
        <f>IF(H15=1,中間シート!G12&amp;中間シート!G13&amp;中間シート!G14&amp;中間シート!G15,"")</f>
        <v/>
      </c>
      <c r="AC15" s="251"/>
      <c r="AD15" s="251"/>
      <c r="AE15" s="251"/>
      <c r="AF15" s="251"/>
      <c r="AG15" s="251"/>
      <c r="AH15" s="251"/>
      <c r="AI15" s="251"/>
      <c r="AJ15" s="251"/>
      <c r="AK15" s="251"/>
      <c r="AL15" s="251"/>
      <c r="AM15" s="251"/>
      <c r="AN15" s="251"/>
      <c r="AO15" s="251"/>
      <c r="AP15" s="252"/>
    </row>
    <row r="17" spans="1:49" x14ac:dyDescent="0.2">
      <c r="J17" s="23" t="s">
        <v>307</v>
      </c>
    </row>
    <row r="18" spans="1:49" ht="16.5" customHeight="1" x14ac:dyDescent="0.2">
      <c r="A18" s="20" t="s">
        <v>95</v>
      </c>
      <c r="B18" s="20" t="s">
        <v>96</v>
      </c>
      <c r="C18" s="20" t="s">
        <v>97</v>
      </c>
      <c r="D18" s="20" t="s">
        <v>98</v>
      </c>
      <c r="E18" s="20">
        <v>1</v>
      </c>
      <c r="F18" s="20">
        <v>2</v>
      </c>
      <c r="G18" s="20">
        <v>3</v>
      </c>
      <c r="H18" s="20">
        <v>4</v>
      </c>
      <c r="J18" s="248" t="s">
        <v>99</v>
      </c>
      <c r="K18" s="248"/>
      <c r="L18" s="248"/>
      <c r="M18" s="248"/>
      <c r="N18" s="255" t="s">
        <v>308</v>
      </c>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7"/>
    </row>
    <row r="19" spans="1:49" ht="16.5" customHeight="1" x14ac:dyDescent="0.2">
      <c r="A19" s="20">
        <f>中間シート!AI187</f>
        <v>9999</v>
      </c>
      <c r="B19" s="20" t="str">
        <f>中間シート!AK187</f>
        <v>事業場99</v>
      </c>
      <c r="C19" s="20" t="e">
        <f>中間シート!AJ187</f>
        <v>#N/A</v>
      </c>
      <c r="D19" s="20" t="str">
        <f>VLOOKUP($A19,中間シート!$D$187:$K$276,4)</f>
        <v/>
      </c>
      <c r="E19" s="20" t="str">
        <f>VLOOKUP($A19,中間シート!$D$187:$K$276,5)</f>
        <v/>
      </c>
      <c r="F19" s="20" t="str">
        <f>VLOOKUP($A19,中間シート!$D$187:$K$276,6)</f>
        <v/>
      </c>
      <c r="G19" s="20" t="str">
        <f>VLOOKUP($A19,中間シート!$D$187:$K$276,7)</f>
        <v/>
      </c>
      <c r="H19" s="20" t="str">
        <f>VLOOKUP($A19,中間シート!$D$187:$K$276,8)</f>
        <v/>
      </c>
      <c r="J19" s="248" t="s">
        <v>92</v>
      </c>
      <c r="K19" s="248"/>
      <c r="L19" s="248"/>
      <c r="M19" s="248"/>
      <c r="N19" s="260" t="str">
        <f>IF($A19&lt;&gt;9999,IF($C19=2,VLOOKUP($A19,中間シート!$D$187:$T$276,14,FALSE),VLOOKUP($A19,中間シート!$D$187:$T$276,9,FALSE)),"")</f>
        <v/>
      </c>
      <c r="O19" s="261"/>
      <c r="P19" s="261"/>
      <c r="Q19" s="261"/>
      <c r="R19" s="261"/>
      <c r="S19" s="261"/>
      <c r="T19" s="262"/>
      <c r="U19" s="258" t="s">
        <v>516</v>
      </c>
      <c r="V19" s="259"/>
      <c r="W19" s="260" t="str">
        <f>IF($A19&lt;&gt;9999,IF($C19=2,VLOOKUP($A19,中間シート!$D$187:$T$276,15,FALSE),VLOOKUP($A19,中間シート!$D$187:$T$276,10,FALSE)),"")</f>
        <v/>
      </c>
      <c r="X19" s="261"/>
      <c r="Y19" s="261"/>
      <c r="Z19" s="261"/>
      <c r="AA19" s="261"/>
      <c r="AB19" s="261"/>
      <c r="AC19" s="262"/>
      <c r="AD19" s="258" t="s">
        <v>516</v>
      </c>
      <c r="AE19" s="259"/>
      <c r="AF19" s="260" t="str">
        <f>IF($A19&lt;&gt;9999,IF($C19=2,VLOOKUP($A19,中間シート!$D$187:$T$276,16,FALSE),VLOOKUP($A19,中間シート!$D$187:$T$276,11,FALSE)),"")</f>
        <v/>
      </c>
      <c r="AG19" s="261"/>
      <c r="AH19" s="261"/>
      <c r="AI19" s="261"/>
      <c r="AJ19" s="261"/>
      <c r="AK19" s="262"/>
    </row>
    <row r="20" spans="1:49" ht="16.5" customHeight="1" x14ac:dyDescent="0.2">
      <c r="A20" s="20">
        <f>中間シート!AI188</f>
        <v>9999</v>
      </c>
      <c r="B20" s="20" t="str">
        <f>中間シート!AK188</f>
        <v>事業場99</v>
      </c>
      <c r="C20" s="20" t="e">
        <f>中間シート!AJ188</f>
        <v>#N/A</v>
      </c>
      <c r="D20" s="20" t="str">
        <f>VLOOKUP($A20,中間シート!$D$187:$K$276,4)</f>
        <v/>
      </c>
      <c r="E20" s="20" t="str">
        <f>VLOOKUP($A20,中間シート!$D$187:$K$276,5)</f>
        <v/>
      </c>
      <c r="F20" s="20" t="str">
        <f>VLOOKUP($A20,中間シート!$D$187:$K$276,6)</f>
        <v/>
      </c>
      <c r="G20" s="20" t="str">
        <f>VLOOKUP($A20,中間シート!$D$187:$K$276,7)</f>
        <v/>
      </c>
      <c r="H20" s="20" t="str">
        <f>VLOOKUP($A20,中間シート!$D$187:$K$276,8)</f>
        <v/>
      </c>
      <c r="J20" s="248" t="str">
        <f>IF(B20&lt;&gt;"事業場2","事業場2",B20)</f>
        <v>事業場2</v>
      </c>
      <c r="K20" s="248"/>
      <c r="L20" s="248"/>
      <c r="M20" s="248"/>
      <c r="N20" s="260" t="str">
        <f>IF($A20&lt;&gt;9999,IF($C20=2,VLOOKUP($A20,中間シート!$D$187:$T$276,14,FALSE),VLOOKUP($A20,中間シート!$D$187:$T$276,9,FALSE)),"")</f>
        <v/>
      </c>
      <c r="O20" s="261"/>
      <c r="P20" s="261"/>
      <c r="Q20" s="261"/>
      <c r="R20" s="261"/>
      <c r="S20" s="261"/>
      <c r="T20" s="262"/>
      <c r="U20" s="258" t="s">
        <v>516</v>
      </c>
      <c r="V20" s="259"/>
      <c r="W20" s="260" t="str">
        <f>IF($A20&lt;&gt;9999,IF($C20=2,VLOOKUP($A20,中間シート!$D$187:$T$276,15,FALSE),VLOOKUP($A20,中間シート!$D$187:$T$276,10,FALSE)),"")</f>
        <v/>
      </c>
      <c r="X20" s="261"/>
      <c r="Y20" s="261"/>
      <c r="Z20" s="261"/>
      <c r="AA20" s="261"/>
      <c r="AB20" s="261"/>
      <c r="AC20" s="262"/>
      <c r="AD20" s="258" t="s">
        <v>516</v>
      </c>
      <c r="AE20" s="259"/>
      <c r="AF20" s="260" t="str">
        <f>IF($A20&lt;&gt;9999,IF($C20=2,VLOOKUP($A20,中間シート!$D$187:$T$276,16,FALSE),VLOOKUP($A20,中間シート!$D$187:$T$276,11,FALSE)),"")</f>
        <v/>
      </c>
      <c r="AG20" s="261"/>
      <c r="AH20" s="261"/>
      <c r="AI20" s="261"/>
      <c r="AJ20" s="261"/>
      <c r="AK20" s="262"/>
    </row>
    <row r="21" spans="1:49" x14ac:dyDescent="0.2">
      <c r="J21" s="50" t="s">
        <v>100</v>
      </c>
      <c r="K21" s="50"/>
      <c r="L21" s="271" t="s">
        <v>309</v>
      </c>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row>
    <row r="22" spans="1:49" x14ac:dyDescent="0.2">
      <c r="J22" s="50"/>
      <c r="K22" s="50"/>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row>
    <row r="24" spans="1:49" x14ac:dyDescent="0.2">
      <c r="J24" s="23" t="s">
        <v>310</v>
      </c>
    </row>
    <row r="25" spans="1:49" ht="13.5" customHeight="1" x14ac:dyDescent="0.2">
      <c r="AU25" s="22" t="s">
        <v>102</v>
      </c>
    </row>
    <row r="26" spans="1:49" ht="30.75" customHeight="1" x14ac:dyDescent="0.2">
      <c r="J26" s="248" t="s">
        <v>103</v>
      </c>
      <c r="K26" s="248"/>
      <c r="L26" s="248"/>
      <c r="M26" s="248"/>
      <c r="N26" s="270" t="s">
        <v>32</v>
      </c>
      <c r="O26" s="248"/>
      <c r="P26" s="248"/>
      <c r="Q26" s="248"/>
      <c r="R26" s="248"/>
      <c r="S26" s="248"/>
      <c r="T26" s="248"/>
      <c r="U26" s="248"/>
      <c r="V26" s="248"/>
      <c r="W26" s="267" t="s">
        <v>36</v>
      </c>
      <c r="X26" s="268"/>
      <c r="Y26" s="268"/>
      <c r="Z26" s="268"/>
      <c r="AA26" s="268"/>
      <c r="AB26" s="268"/>
      <c r="AC26" s="268"/>
      <c r="AD26" s="268"/>
      <c r="AE26" s="268"/>
      <c r="AF26" s="268"/>
      <c r="AG26" s="268"/>
      <c r="AH26" s="268"/>
      <c r="AI26" s="268"/>
      <c r="AJ26" s="268"/>
      <c r="AK26" s="268"/>
      <c r="AL26" s="269"/>
      <c r="AM26" s="248" t="s">
        <v>37</v>
      </c>
      <c r="AN26" s="248"/>
      <c r="AO26" s="248"/>
      <c r="AP26" s="248"/>
      <c r="AQ26" s="248"/>
      <c r="AR26" s="248"/>
      <c r="AS26" s="248"/>
      <c r="AT26" s="248"/>
      <c r="AU26" s="248"/>
    </row>
    <row r="27" spans="1:49" ht="16.5" customHeight="1" x14ac:dyDescent="0.2">
      <c r="J27" s="248" t="s">
        <v>92</v>
      </c>
      <c r="K27" s="248"/>
      <c r="L27" s="248"/>
      <c r="M27" s="248"/>
      <c r="N27" s="266" t="str">
        <f>IF(中間シート!D373&lt;&gt;0,中間シート!D373,"")</f>
        <v/>
      </c>
      <c r="O27" s="266"/>
      <c r="P27" s="266"/>
      <c r="Q27" s="266"/>
      <c r="R27" s="266"/>
      <c r="S27" s="266"/>
      <c r="T27" s="266"/>
      <c r="U27" s="266"/>
      <c r="V27" s="266"/>
      <c r="W27" s="267" t="s">
        <v>105</v>
      </c>
      <c r="X27" s="268"/>
      <c r="Y27" s="268"/>
      <c r="Z27" s="268"/>
      <c r="AA27" s="268"/>
      <c r="AB27" s="268"/>
      <c r="AC27" s="268"/>
      <c r="AD27" s="268"/>
      <c r="AE27" s="268"/>
      <c r="AF27" s="268"/>
      <c r="AG27" s="268"/>
      <c r="AH27" s="268"/>
      <c r="AI27" s="268"/>
      <c r="AJ27" s="268"/>
      <c r="AK27" s="268"/>
      <c r="AL27" s="269"/>
      <c r="AM27" s="266" t="str">
        <f>IF(中間シート!H373&lt;&gt;0,中間シート!H373,"")</f>
        <v/>
      </c>
      <c r="AN27" s="266"/>
      <c r="AO27" s="266"/>
      <c r="AP27" s="266"/>
      <c r="AQ27" s="266"/>
      <c r="AR27" s="266"/>
      <c r="AS27" s="266"/>
      <c r="AT27" s="266"/>
      <c r="AU27" s="266"/>
    </row>
    <row r="28" spans="1:49" ht="16.5" customHeight="1" x14ac:dyDescent="0.2">
      <c r="J28" s="248" t="s">
        <v>94</v>
      </c>
      <c r="K28" s="248"/>
      <c r="L28" s="248"/>
      <c r="M28" s="248"/>
      <c r="N28" s="266" t="str">
        <f>IF(中間シート!D374&lt;&gt;0,中間シート!D374,"")</f>
        <v/>
      </c>
      <c r="O28" s="266"/>
      <c r="P28" s="266"/>
      <c r="Q28" s="266"/>
      <c r="R28" s="266"/>
      <c r="S28" s="266"/>
      <c r="T28" s="266"/>
      <c r="U28" s="266"/>
      <c r="V28" s="266"/>
      <c r="W28" s="267" t="s">
        <v>105</v>
      </c>
      <c r="X28" s="268"/>
      <c r="Y28" s="268"/>
      <c r="Z28" s="268"/>
      <c r="AA28" s="268"/>
      <c r="AB28" s="268"/>
      <c r="AC28" s="268"/>
      <c r="AD28" s="268"/>
      <c r="AE28" s="268"/>
      <c r="AF28" s="268"/>
      <c r="AG28" s="268"/>
      <c r="AH28" s="268"/>
      <c r="AI28" s="268"/>
      <c r="AJ28" s="268"/>
      <c r="AK28" s="268"/>
      <c r="AL28" s="269"/>
      <c r="AM28" s="266" t="str">
        <f>IF(中間シート!H374&lt;&gt;0,中間シート!H374,"")</f>
        <v/>
      </c>
      <c r="AN28" s="266"/>
      <c r="AO28" s="266"/>
      <c r="AP28" s="266"/>
      <c r="AQ28" s="266"/>
      <c r="AR28" s="266"/>
      <c r="AS28" s="266"/>
      <c r="AT28" s="266"/>
      <c r="AU28" s="266"/>
    </row>
    <row r="29" spans="1:49" ht="16.5" customHeight="1" x14ac:dyDescent="0.2">
      <c r="J29" s="248" t="s">
        <v>106</v>
      </c>
      <c r="K29" s="248"/>
      <c r="L29" s="248"/>
      <c r="M29" s="248"/>
      <c r="N29" s="266" t="str">
        <f>IF(N27&lt;&gt;"",SUM(N27:V28),"")</f>
        <v/>
      </c>
      <c r="O29" s="266"/>
      <c r="P29" s="266"/>
      <c r="Q29" s="266"/>
      <c r="R29" s="266"/>
      <c r="S29" s="266"/>
      <c r="T29" s="266"/>
      <c r="U29" s="266"/>
      <c r="V29" s="266"/>
      <c r="W29" s="263"/>
      <c r="X29" s="264"/>
      <c r="Y29" s="264"/>
      <c r="Z29" s="264"/>
      <c r="AA29" s="264"/>
      <c r="AB29" s="264"/>
      <c r="AC29" s="264"/>
      <c r="AD29" s="264"/>
      <c r="AE29" s="264"/>
      <c r="AF29" s="264"/>
      <c r="AG29" s="264"/>
      <c r="AH29" s="264"/>
      <c r="AI29" s="264"/>
      <c r="AJ29" s="264"/>
      <c r="AK29" s="264"/>
      <c r="AL29" s="265"/>
      <c r="AM29" s="266" t="str">
        <f>IF(AM27&lt;&gt;"",SUM(AM27:AU28),"")</f>
        <v/>
      </c>
      <c r="AN29" s="266"/>
      <c r="AO29" s="266"/>
      <c r="AP29" s="266"/>
      <c r="AQ29" s="266"/>
      <c r="AR29" s="266"/>
      <c r="AS29" s="266"/>
      <c r="AT29" s="266"/>
      <c r="AU29" s="266"/>
      <c r="AW29" s="62" t="str">
        <f>IF(SUM(中間シート!$E$281:$E$370)=0,"",IF(SUM(中間シート!$E$281:$E$370)&gt;30,"←この値は使用しません。様式第１（30事業場90台）シートを参考ください！",IF(OR(SUM(中間シート!$E$281:$E$370)&gt;=3,中間シート!G3&gt;=3),"←この値は使用しません。様式第１（10事業場30台）シートを参考ください！","←この値を申請の補助金交付申請額欄に記載してください")))</f>
        <v/>
      </c>
    </row>
    <row r="30" spans="1:49" x14ac:dyDescent="0.2">
      <c r="J30" s="50" t="s">
        <v>107</v>
      </c>
      <c r="K30" s="50"/>
      <c r="L30" s="50"/>
    </row>
    <row r="31" spans="1:49" x14ac:dyDescent="0.2">
      <c r="J31" s="72" t="s">
        <v>311</v>
      </c>
      <c r="K31" s="50"/>
      <c r="L31" s="50"/>
    </row>
    <row r="32" spans="1:49" x14ac:dyDescent="0.2">
      <c r="J32" s="72" t="s">
        <v>313</v>
      </c>
      <c r="K32" s="50"/>
      <c r="L32" s="50"/>
    </row>
    <row r="33" spans="10:12" x14ac:dyDescent="0.2">
      <c r="J33" s="72" t="s">
        <v>312</v>
      </c>
      <c r="L33" s="50"/>
    </row>
    <row r="34" spans="10:12" x14ac:dyDescent="0.2">
      <c r="J34" s="73"/>
      <c r="K34" s="50"/>
      <c r="L34" s="50"/>
    </row>
    <row r="35" spans="10:12" x14ac:dyDescent="0.2">
      <c r="J35" s="74"/>
      <c r="K35" s="50"/>
      <c r="L35" s="50"/>
    </row>
  </sheetData>
  <mergeCells count="44">
    <mergeCell ref="AM29:AU29"/>
    <mergeCell ref="AF20:AK20"/>
    <mergeCell ref="J20:M20"/>
    <mergeCell ref="N20:T20"/>
    <mergeCell ref="U20:V20"/>
    <mergeCell ref="W20:AC20"/>
    <mergeCell ref="AD20:AE20"/>
    <mergeCell ref="AM27:AU27"/>
    <mergeCell ref="J28:M28"/>
    <mergeCell ref="N28:V28"/>
    <mergeCell ref="AM28:AU28"/>
    <mergeCell ref="L21:AU22"/>
    <mergeCell ref="J26:M26"/>
    <mergeCell ref="AM26:AU26"/>
    <mergeCell ref="U19:V19"/>
    <mergeCell ref="W19:AC19"/>
    <mergeCell ref="AD19:AE19"/>
    <mergeCell ref="W29:AL29"/>
    <mergeCell ref="J29:M29"/>
    <mergeCell ref="N29:V29"/>
    <mergeCell ref="W28:AL28"/>
    <mergeCell ref="AF19:AK19"/>
    <mergeCell ref="N26:V26"/>
    <mergeCell ref="W26:AL26"/>
    <mergeCell ref="W27:AL27"/>
    <mergeCell ref="J27:M27"/>
    <mergeCell ref="N27:V27"/>
    <mergeCell ref="J19:M19"/>
    <mergeCell ref="N19:T19"/>
    <mergeCell ref="J15:M15"/>
    <mergeCell ref="N15:W15"/>
    <mergeCell ref="Y15:AA15"/>
    <mergeCell ref="AB15:AP15"/>
    <mergeCell ref="J18:M18"/>
    <mergeCell ref="N18:AK18"/>
    <mergeCell ref="J14:M14"/>
    <mergeCell ref="N14:W14"/>
    <mergeCell ref="Y14:AA14"/>
    <mergeCell ref="AB14:AP14"/>
    <mergeCell ref="X3:AH3"/>
    <mergeCell ref="X4:AH4"/>
    <mergeCell ref="J9:M13"/>
    <mergeCell ref="N9:W13"/>
    <mergeCell ref="X9:AP13"/>
  </mergeCells>
  <phoneticPr fontId="6"/>
  <pageMargins left="0.98425196850393704" right="0.70866141732283472" top="0.6889763779527559" bottom="0.6889763779527559" header="0.31496062992125984" footer="0.31496062992125984"/>
  <pageSetup paperSize="9" scale="96" fitToWidth="0" fitToHeight="0" orientation="portrait" r:id="rId1"/>
  <rowBreaks count="1" manualBreakCount="1">
    <brk id="5" max="16383" man="1"/>
  </rowBreaks>
  <extLst>
    <ext xmlns:x14="http://schemas.microsoft.com/office/spreadsheetml/2009/9/main" uri="{78C0D931-6437-407d-A8EE-F0AAD7539E65}">
      <x14:conditionalFormattings>
        <x14:conditionalFormatting xmlns:xm="http://schemas.microsoft.com/office/excel/2006/main">
          <x14:cfRule type="containsText" priority="1" operator="containsText" id="{DA038C35-B90F-486A-9383-F0AAD8EB0C83}">
            <xm:f>NOT(ISERROR(SEARCH("-",Y14)))</xm:f>
            <xm:f>"-"</xm:f>
            <x14:dxf>
              <font>
                <b/>
                <i val="0"/>
              </font>
            </x14:dxf>
          </x14:cfRule>
          <xm:sqref>Y14:Y15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7" tint="0.59999389629810485"/>
  </sheetPr>
  <dimension ref="A1:AW81"/>
  <sheetViews>
    <sheetView showGridLines="0" topLeftCell="I1" workbookViewId="0">
      <selection activeCell="X95" sqref="X95:AO95"/>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16384" width="9" style="20"/>
  </cols>
  <sheetData>
    <row r="1" spans="7:42" x14ac:dyDescent="0.2">
      <c r="J1" s="20" t="s">
        <v>83</v>
      </c>
    </row>
    <row r="2" spans="7:42" x14ac:dyDescent="0.2">
      <c r="J2" s="20" t="s">
        <v>518</v>
      </c>
    </row>
    <row r="3" spans="7:42" ht="17.100000000000001" customHeight="1" x14ac:dyDescent="0.2">
      <c r="J3" s="20" t="s">
        <v>85</v>
      </c>
      <c r="X3" s="253" t="str">
        <f>IF(N75&lt;&gt;0,N75,"")</f>
        <v/>
      </c>
      <c r="Y3" s="253"/>
      <c r="Z3" s="253"/>
      <c r="AA3" s="253"/>
      <c r="AB3" s="253"/>
      <c r="AC3" s="253"/>
      <c r="AD3" s="253"/>
      <c r="AE3" s="253"/>
      <c r="AF3" s="253"/>
      <c r="AG3" s="253"/>
      <c r="AH3" s="253"/>
      <c r="AI3" s="49"/>
      <c r="AJ3" s="49"/>
      <c r="AM3" s="20" t="s">
        <v>86</v>
      </c>
    </row>
    <row r="4" spans="7:42" ht="17.100000000000001" customHeight="1" x14ac:dyDescent="0.2">
      <c r="J4" s="20" t="s">
        <v>87</v>
      </c>
      <c r="X4" s="253" t="str">
        <f>IF(W75&lt;&gt;0,W75,"")</f>
        <v/>
      </c>
      <c r="Y4" s="253"/>
      <c r="Z4" s="253"/>
      <c r="AA4" s="253"/>
      <c r="AB4" s="253"/>
      <c r="AC4" s="253"/>
      <c r="AD4" s="253"/>
      <c r="AE4" s="253"/>
      <c r="AF4" s="253"/>
      <c r="AG4" s="253"/>
      <c r="AH4" s="253"/>
      <c r="AI4" s="49"/>
      <c r="AJ4" s="49"/>
      <c r="AM4" s="20" t="s">
        <v>86</v>
      </c>
      <c r="AN4" s="62" t="str">
        <f>IF(SUM(中間シート!$E$281:$E$370)=0,"",IF(SUM(中間シート!$E$281:$E$370)&gt;30,"←この値は使用しません。様式第１（30事業場90台）シートを参考ください！",IF(OR(SUM(中間シート!$E$281:$E$370)&gt;=3,中間シート!G3&gt;=3),"←この値を申請の補助対象経費欄に記載してください","←この値は使用しません。様式第１（通常）シートを参考ください！")))</f>
        <v/>
      </c>
    </row>
    <row r="7" spans="7:42" x14ac:dyDescent="0.2">
      <c r="J7" s="20" t="s">
        <v>88</v>
      </c>
    </row>
    <row r="9" spans="7:42" x14ac:dyDescent="0.2">
      <c r="J9" s="20" t="s">
        <v>512</v>
      </c>
    </row>
    <row r="10" spans="7:42" ht="16.5" customHeight="1" x14ac:dyDescent="0.2">
      <c r="J10" s="248" t="s">
        <v>89</v>
      </c>
      <c r="K10" s="248"/>
      <c r="L10" s="248"/>
      <c r="M10" s="248"/>
      <c r="N10" s="254" t="s">
        <v>513</v>
      </c>
      <c r="O10" s="254"/>
      <c r="P10" s="254"/>
      <c r="Q10" s="254"/>
      <c r="R10" s="254"/>
      <c r="S10" s="254"/>
      <c r="T10" s="254"/>
      <c r="U10" s="254"/>
      <c r="V10" s="254"/>
      <c r="W10" s="254"/>
      <c r="X10" s="248" t="s">
        <v>91</v>
      </c>
      <c r="Y10" s="248"/>
      <c r="Z10" s="248"/>
      <c r="AA10" s="248"/>
      <c r="AB10" s="248"/>
      <c r="AC10" s="248"/>
      <c r="AD10" s="248"/>
      <c r="AE10" s="248"/>
      <c r="AF10" s="248"/>
      <c r="AG10" s="248"/>
      <c r="AH10" s="248"/>
      <c r="AI10" s="248"/>
      <c r="AJ10" s="248"/>
      <c r="AK10" s="248"/>
      <c r="AL10" s="248"/>
      <c r="AM10" s="248"/>
      <c r="AN10" s="248"/>
      <c r="AO10" s="248"/>
      <c r="AP10" s="248"/>
    </row>
    <row r="11" spans="7:42" ht="16.5" customHeight="1" x14ac:dyDescent="0.2">
      <c r="J11" s="248"/>
      <c r="K11" s="248"/>
      <c r="L11" s="248"/>
      <c r="M11" s="248"/>
      <c r="N11" s="254"/>
      <c r="O11" s="254"/>
      <c r="P11" s="254"/>
      <c r="Q11" s="254"/>
      <c r="R11" s="254"/>
      <c r="S11" s="254"/>
      <c r="T11" s="254"/>
      <c r="U11" s="254"/>
      <c r="V11" s="254"/>
      <c r="W11" s="254"/>
      <c r="X11" s="248"/>
      <c r="Y11" s="248"/>
      <c r="Z11" s="248"/>
      <c r="AA11" s="248"/>
      <c r="AB11" s="248"/>
      <c r="AC11" s="248"/>
      <c r="AD11" s="248"/>
      <c r="AE11" s="248"/>
      <c r="AF11" s="248"/>
      <c r="AG11" s="248"/>
      <c r="AH11" s="248"/>
      <c r="AI11" s="248"/>
      <c r="AJ11" s="248"/>
      <c r="AK11" s="248"/>
      <c r="AL11" s="248"/>
      <c r="AM11" s="248"/>
      <c r="AN11" s="248"/>
      <c r="AO11" s="248"/>
      <c r="AP11" s="248"/>
    </row>
    <row r="12" spans="7:42" ht="16.5" customHeight="1" x14ac:dyDescent="0.2">
      <c r="J12" s="248"/>
      <c r="K12" s="248"/>
      <c r="L12" s="248"/>
      <c r="M12" s="248"/>
      <c r="N12" s="254"/>
      <c r="O12" s="254"/>
      <c r="P12" s="254"/>
      <c r="Q12" s="254"/>
      <c r="R12" s="254"/>
      <c r="S12" s="254"/>
      <c r="T12" s="254"/>
      <c r="U12" s="254"/>
      <c r="V12" s="254"/>
      <c r="W12" s="254"/>
      <c r="X12" s="248"/>
      <c r="Y12" s="248"/>
      <c r="Z12" s="248"/>
      <c r="AA12" s="248"/>
      <c r="AB12" s="248"/>
      <c r="AC12" s="248"/>
      <c r="AD12" s="248"/>
      <c r="AE12" s="248"/>
      <c r="AF12" s="248"/>
      <c r="AG12" s="248"/>
      <c r="AH12" s="248"/>
      <c r="AI12" s="248"/>
      <c r="AJ12" s="248"/>
      <c r="AK12" s="248"/>
      <c r="AL12" s="248"/>
      <c r="AM12" s="248"/>
      <c r="AN12" s="248"/>
      <c r="AO12" s="248"/>
      <c r="AP12" s="248"/>
    </row>
    <row r="13" spans="7:42" ht="16.5" customHeight="1" x14ac:dyDescent="0.2">
      <c r="J13" s="248"/>
      <c r="K13" s="248"/>
      <c r="L13" s="248"/>
      <c r="M13" s="248"/>
      <c r="N13" s="254"/>
      <c r="O13" s="254"/>
      <c r="P13" s="254"/>
      <c r="Q13" s="254"/>
      <c r="R13" s="254"/>
      <c r="S13" s="254"/>
      <c r="T13" s="254"/>
      <c r="U13" s="254"/>
      <c r="V13" s="254"/>
      <c r="W13" s="254"/>
      <c r="X13" s="248"/>
      <c r="Y13" s="248"/>
      <c r="Z13" s="248"/>
      <c r="AA13" s="248"/>
      <c r="AB13" s="248"/>
      <c r="AC13" s="248"/>
      <c r="AD13" s="248"/>
      <c r="AE13" s="248"/>
      <c r="AF13" s="248"/>
      <c r="AG13" s="248"/>
      <c r="AH13" s="248"/>
      <c r="AI13" s="248"/>
      <c r="AJ13" s="248"/>
      <c r="AK13" s="248"/>
      <c r="AL13" s="248"/>
      <c r="AM13" s="248"/>
      <c r="AN13" s="248"/>
      <c r="AO13" s="248"/>
      <c r="AP13" s="248"/>
    </row>
    <row r="14" spans="7:42" ht="16.5" customHeight="1" x14ac:dyDescent="0.2">
      <c r="J14" s="248"/>
      <c r="K14" s="248"/>
      <c r="L14" s="248"/>
      <c r="M14" s="248"/>
      <c r="N14" s="254"/>
      <c r="O14" s="254"/>
      <c r="P14" s="254"/>
      <c r="Q14" s="254"/>
      <c r="R14" s="254"/>
      <c r="S14" s="254"/>
      <c r="T14" s="254"/>
      <c r="U14" s="254"/>
      <c r="V14" s="254"/>
      <c r="W14" s="254"/>
      <c r="X14" s="248"/>
      <c r="Y14" s="248"/>
      <c r="Z14" s="248"/>
      <c r="AA14" s="248"/>
      <c r="AB14" s="248"/>
      <c r="AC14" s="248"/>
      <c r="AD14" s="248"/>
      <c r="AE14" s="248"/>
      <c r="AF14" s="248"/>
      <c r="AG14" s="248"/>
      <c r="AH14" s="248"/>
      <c r="AI14" s="248"/>
      <c r="AJ14" s="248"/>
      <c r="AK14" s="248"/>
      <c r="AL14" s="248"/>
      <c r="AM14" s="248"/>
      <c r="AN14" s="248"/>
      <c r="AO14" s="248"/>
      <c r="AP14" s="248"/>
    </row>
    <row r="15" spans="7:42" ht="17.100000000000001" customHeight="1" x14ac:dyDescent="0.2">
      <c r="G15" s="20">
        <v>1</v>
      </c>
      <c r="H15" s="20">
        <v>1</v>
      </c>
      <c r="J15" s="248" t="s">
        <v>92</v>
      </c>
      <c r="K15" s="248"/>
      <c r="L15" s="248"/>
      <c r="M15" s="248"/>
      <c r="N15" s="249" t="str">
        <f>IF(H15=1,中間シート!G4,"")</f>
        <v/>
      </c>
      <c r="O15" s="249"/>
      <c r="P15" s="249"/>
      <c r="Q15" s="249"/>
      <c r="R15" s="249"/>
      <c r="S15" s="249"/>
      <c r="T15" s="249"/>
      <c r="U15" s="249"/>
      <c r="V15" s="249"/>
      <c r="W15" s="249"/>
      <c r="X15" s="51" t="s">
        <v>93</v>
      </c>
      <c r="Y15" s="250" t="str">
        <f>IF(H15=1,IF(AND(中間シート!G5&lt;&gt;"",中間シート!H5&lt;&gt;""),中間シート!G5&amp;"-"&amp;中間シート!H5,""),"")</f>
        <v/>
      </c>
      <c r="Z15" s="250"/>
      <c r="AA15" s="250"/>
      <c r="AB15" s="251" t="str">
        <f>IF(H15=1,中間シート!G6&amp;中間シート!G7&amp;中間シート!G8&amp;中間シート!G9,"")</f>
        <v/>
      </c>
      <c r="AC15" s="251"/>
      <c r="AD15" s="251"/>
      <c r="AE15" s="251"/>
      <c r="AF15" s="251"/>
      <c r="AG15" s="251"/>
      <c r="AH15" s="251"/>
      <c r="AI15" s="251"/>
      <c r="AJ15" s="251"/>
      <c r="AK15" s="251"/>
      <c r="AL15" s="251"/>
      <c r="AM15" s="251"/>
      <c r="AN15" s="251"/>
      <c r="AO15" s="251"/>
      <c r="AP15" s="252"/>
    </row>
    <row r="16" spans="7:42" ht="17.100000000000001" customHeight="1" x14ac:dyDescent="0.2">
      <c r="G16" s="20">
        <v>2</v>
      </c>
      <c r="H16" s="20">
        <f>IF(G16&lt;=中間シート!$G$3,1,0)</f>
        <v>0</v>
      </c>
      <c r="J16" s="248" t="s">
        <v>94</v>
      </c>
      <c r="K16" s="248"/>
      <c r="L16" s="248"/>
      <c r="M16" s="248"/>
      <c r="N16" s="249" t="str">
        <f>IF(H16=1,中間シート!G10,"")</f>
        <v/>
      </c>
      <c r="O16" s="249"/>
      <c r="P16" s="249"/>
      <c r="Q16" s="249"/>
      <c r="R16" s="249"/>
      <c r="S16" s="249"/>
      <c r="T16" s="249"/>
      <c r="U16" s="249"/>
      <c r="V16" s="249"/>
      <c r="W16" s="249"/>
      <c r="X16" s="51" t="s">
        <v>93</v>
      </c>
      <c r="Y16" s="250" t="str">
        <f>IF(H16=1,IF(AND(中間シート!G11&lt;&gt;"",中間シート!H11&lt;&gt;""),中間シート!G11&amp;"-"&amp;中間シート!H11,""),"")</f>
        <v/>
      </c>
      <c r="Z16" s="250"/>
      <c r="AA16" s="250"/>
      <c r="AB16" s="251" t="str">
        <f>IF(H16=1,中間シート!G12&amp;中間シート!G13&amp;中間シート!G14&amp;中間シート!G15,"")</f>
        <v/>
      </c>
      <c r="AC16" s="251"/>
      <c r="AD16" s="251"/>
      <c r="AE16" s="251"/>
      <c r="AF16" s="251"/>
      <c r="AG16" s="251"/>
      <c r="AH16" s="251"/>
      <c r="AI16" s="251"/>
      <c r="AJ16" s="251"/>
      <c r="AK16" s="251"/>
      <c r="AL16" s="251"/>
      <c r="AM16" s="251"/>
      <c r="AN16" s="251"/>
      <c r="AO16" s="251"/>
      <c r="AP16" s="252"/>
    </row>
    <row r="17" spans="1:42" ht="17.100000000000001" customHeight="1" x14ac:dyDescent="0.2">
      <c r="G17" s="20">
        <v>3</v>
      </c>
      <c r="H17" s="20">
        <f>IF(G17&lt;=中間シート!$G$3,1,0)</f>
        <v>0</v>
      </c>
      <c r="J17" s="248" t="s">
        <v>108</v>
      </c>
      <c r="K17" s="248"/>
      <c r="L17" s="248"/>
      <c r="M17" s="248"/>
      <c r="N17" s="249" t="str">
        <f>IF(H17=1,中間シート!G16,"")</f>
        <v/>
      </c>
      <c r="O17" s="249"/>
      <c r="P17" s="249"/>
      <c r="Q17" s="249"/>
      <c r="R17" s="249"/>
      <c r="S17" s="249"/>
      <c r="T17" s="249"/>
      <c r="U17" s="249"/>
      <c r="V17" s="249"/>
      <c r="W17" s="249"/>
      <c r="X17" s="51" t="s">
        <v>93</v>
      </c>
      <c r="Y17" s="250" t="str">
        <f>IF(H17=1,IF(AND(中間シート!G17&lt;&gt;"",中間シート!H17&lt;&gt;""),中間シート!G17&amp;"-"&amp;中間シート!H17,""),"")</f>
        <v/>
      </c>
      <c r="Z17" s="250"/>
      <c r="AA17" s="250"/>
      <c r="AB17" s="251" t="str">
        <f>IF(H17=1,中間シート!G18&amp;中間シート!G19&amp;中間シート!G20&amp;中間シート!G21,"")</f>
        <v/>
      </c>
      <c r="AC17" s="251"/>
      <c r="AD17" s="251"/>
      <c r="AE17" s="251"/>
      <c r="AF17" s="251"/>
      <c r="AG17" s="251"/>
      <c r="AH17" s="251"/>
      <c r="AI17" s="251"/>
      <c r="AJ17" s="251"/>
      <c r="AK17" s="251"/>
      <c r="AL17" s="251"/>
      <c r="AM17" s="251"/>
      <c r="AN17" s="251"/>
      <c r="AO17" s="251"/>
      <c r="AP17" s="252"/>
    </row>
    <row r="18" spans="1:42" ht="17.100000000000001" customHeight="1" x14ac:dyDescent="0.2">
      <c r="G18" s="20">
        <v>4</v>
      </c>
      <c r="H18" s="20">
        <f>IF(G18&lt;=中間シート!$G$3,1,0)</f>
        <v>0</v>
      </c>
      <c r="J18" s="248" t="s">
        <v>109</v>
      </c>
      <c r="K18" s="248"/>
      <c r="L18" s="248"/>
      <c r="M18" s="248"/>
      <c r="N18" s="249" t="str">
        <f>IF(H18=1,中間シート!G22,"")</f>
        <v/>
      </c>
      <c r="O18" s="249"/>
      <c r="P18" s="249"/>
      <c r="Q18" s="249"/>
      <c r="R18" s="249"/>
      <c r="S18" s="249"/>
      <c r="T18" s="249"/>
      <c r="U18" s="249"/>
      <c r="V18" s="249"/>
      <c r="W18" s="249"/>
      <c r="X18" s="51" t="s">
        <v>93</v>
      </c>
      <c r="Y18" s="250" t="str">
        <f>IF(H18=1,IF(AND(中間シート!G23&lt;&gt;"",中間シート!H23&lt;&gt;""),中間シート!G23&amp;"-"&amp;中間シート!H23,""),"")</f>
        <v/>
      </c>
      <c r="Z18" s="250"/>
      <c r="AA18" s="250"/>
      <c r="AB18" s="251" t="str">
        <f>IF(H18=1,中間シート!G24&amp;中間シート!G25&amp;中間シート!G26&amp;中間シート!G27,"")</f>
        <v/>
      </c>
      <c r="AC18" s="251"/>
      <c r="AD18" s="251"/>
      <c r="AE18" s="251"/>
      <c r="AF18" s="251"/>
      <c r="AG18" s="251"/>
      <c r="AH18" s="251"/>
      <c r="AI18" s="251"/>
      <c r="AJ18" s="251"/>
      <c r="AK18" s="251"/>
      <c r="AL18" s="251"/>
      <c r="AM18" s="251"/>
      <c r="AN18" s="251"/>
      <c r="AO18" s="251"/>
      <c r="AP18" s="252"/>
    </row>
    <row r="19" spans="1:42" ht="17.100000000000001" customHeight="1" x14ac:dyDescent="0.2">
      <c r="G19" s="20">
        <v>5</v>
      </c>
      <c r="H19" s="20">
        <f>IF(G19&lt;=中間シート!$G$3,1,0)</f>
        <v>0</v>
      </c>
      <c r="J19" s="248" t="s">
        <v>110</v>
      </c>
      <c r="K19" s="248"/>
      <c r="L19" s="248"/>
      <c r="M19" s="248"/>
      <c r="N19" s="249" t="str">
        <f>IF(H19=1,中間シート!G28,"")</f>
        <v/>
      </c>
      <c r="O19" s="249"/>
      <c r="P19" s="249"/>
      <c r="Q19" s="249"/>
      <c r="R19" s="249"/>
      <c r="S19" s="249"/>
      <c r="T19" s="249"/>
      <c r="U19" s="249"/>
      <c r="V19" s="249"/>
      <c r="W19" s="249"/>
      <c r="X19" s="51" t="s">
        <v>93</v>
      </c>
      <c r="Y19" s="250" t="str">
        <f>IF(H19=1,IF(AND(中間シート!G29&lt;&gt;"",中間シート!H29&lt;&gt;""),中間シート!G29&amp;"-"&amp;中間シート!H29,""),"")</f>
        <v/>
      </c>
      <c r="Z19" s="250"/>
      <c r="AA19" s="250"/>
      <c r="AB19" s="251" t="str">
        <f>IF(H19=1,中間シート!G30&amp;中間シート!G31&amp;中間シート!G32&amp;中間シート!G33,"")</f>
        <v/>
      </c>
      <c r="AC19" s="251"/>
      <c r="AD19" s="251"/>
      <c r="AE19" s="251"/>
      <c r="AF19" s="251"/>
      <c r="AG19" s="251"/>
      <c r="AH19" s="251"/>
      <c r="AI19" s="251"/>
      <c r="AJ19" s="251"/>
      <c r="AK19" s="251"/>
      <c r="AL19" s="251"/>
      <c r="AM19" s="251"/>
      <c r="AN19" s="251"/>
      <c r="AO19" s="251"/>
      <c r="AP19" s="252"/>
    </row>
    <row r="20" spans="1:42" ht="17.100000000000001" customHeight="1" x14ac:dyDescent="0.2">
      <c r="G20" s="20">
        <v>6</v>
      </c>
      <c r="H20" s="20">
        <f>IF(G20&lt;=中間シート!$G$3,1,0)</f>
        <v>0</v>
      </c>
      <c r="J20" s="248" t="s">
        <v>111</v>
      </c>
      <c r="K20" s="248"/>
      <c r="L20" s="248"/>
      <c r="M20" s="248"/>
      <c r="N20" s="249" t="str">
        <f>IF(H20=1,中間シート!G34,"")</f>
        <v/>
      </c>
      <c r="O20" s="249"/>
      <c r="P20" s="249"/>
      <c r="Q20" s="249"/>
      <c r="R20" s="249"/>
      <c r="S20" s="249"/>
      <c r="T20" s="249"/>
      <c r="U20" s="249"/>
      <c r="V20" s="249"/>
      <c r="W20" s="249"/>
      <c r="X20" s="51" t="s">
        <v>93</v>
      </c>
      <c r="Y20" s="250" t="str">
        <f>IF(H20=1,IF(AND(中間シート!G35&lt;&gt;"",中間シート!H35&lt;&gt;""),中間シート!G35&amp;"-"&amp;中間シート!H35,""),"")</f>
        <v/>
      </c>
      <c r="Z20" s="250"/>
      <c r="AA20" s="250"/>
      <c r="AB20" s="251" t="str">
        <f>IF(H20=1,中間シート!G36&amp;中間シート!G37&amp;中間シート!G38&amp;中間シート!G39,"")</f>
        <v/>
      </c>
      <c r="AC20" s="251"/>
      <c r="AD20" s="251"/>
      <c r="AE20" s="251"/>
      <c r="AF20" s="251"/>
      <c r="AG20" s="251"/>
      <c r="AH20" s="251"/>
      <c r="AI20" s="251"/>
      <c r="AJ20" s="251"/>
      <c r="AK20" s="251"/>
      <c r="AL20" s="251"/>
      <c r="AM20" s="251"/>
      <c r="AN20" s="251"/>
      <c r="AO20" s="251"/>
      <c r="AP20" s="252"/>
    </row>
    <row r="21" spans="1:42" ht="17.100000000000001" customHeight="1" x14ac:dyDescent="0.2">
      <c r="G21" s="20">
        <v>7</v>
      </c>
      <c r="H21" s="20">
        <f>IF(G21&lt;=中間シート!$G$3,1,0)</f>
        <v>0</v>
      </c>
      <c r="J21" s="248" t="s">
        <v>112</v>
      </c>
      <c r="K21" s="248"/>
      <c r="L21" s="248"/>
      <c r="M21" s="248"/>
      <c r="N21" s="249" t="str">
        <f>IF(H21=1,中間シート!G40,"")</f>
        <v/>
      </c>
      <c r="O21" s="249"/>
      <c r="P21" s="249"/>
      <c r="Q21" s="249"/>
      <c r="R21" s="249"/>
      <c r="S21" s="249"/>
      <c r="T21" s="249"/>
      <c r="U21" s="249"/>
      <c r="V21" s="249"/>
      <c r="W21" s="249"/>
      <c r="X21" s="51" t="s">
        <v>93</v>
      </c>
      <c r="Y21" s="250" t="str">
        <f>IF(H21=1,IF(AND(中間シート!G41&lt;&gt;"",中間シート!H41&lt;&gt;""),中間シート!G41&amp;"-"&amp;中間シート!H41,""),"")</f>
        <v/>
      </c>
      <c r="Z21" s="250"/>
      <c r="AA21" s="250"/>
      <c r="AB21" s="251" t="str">
        <f>IF(H21=1,中間シート!G42&amp;中間シート!G43&amp;中間シート!G44&amp;中間シート!G45,"")</f>
        <v/>
      </c>
      <c r="AC21" s="251"/>
      <c r="AD21" s="251"/>
      <c r="AE21" s="251"/>
      <c r="AF21" s="251"/>
      <c r="AG21" s="251"/>
      <c r="AH21" s="251"/>
      <c r="AI21" s="251"/>
      <c r="AJ21" s="251"/>
      <c r="AK21" s="251"/>
      <c r="AL21" s="251"/>
      <c r="AM21" s="251"/>
      <c r="AN21" s="251"/>
      <c r="AO21" s="251"/>
      <c r="AP21" s="252"/>
    </row>
    <row r="22" spans="1:42" ht="17.100000000000001" customHeight="1" x14ac:dyDescent="0.2">
      <c r="G22" s="20">
        <v>8</v>
      </c>
      <c r="H22" s="20">
        <f>IF(G22&lt;=中間シート!$G$3,1,0)</f>
        <v>0</v>
      </c>
      <c r="J22" s="248" t="s">
        <v>113</v>
      </c>
      <c r="K22" s="248"/>
      <c r="L22" s="248"/>
      <c r="M22" s="248"/>
      <c r="N22" s="249" t="str">
        <f>IF(H22=1,中間シート!G46,"")</f>
        <v/>
      </c>
      <c r="O22" s="249"/>
      <c r="P22" s="249"/>
      <c r="Q22" s="249"/>
      <c r="R22" s="249"/>
      <c r="S22" s="249"/>
      <c r="T22" s="249"/>
      <c r="U22" s="249"/>
      <c r="V22" s="249"/>
      <c r="W22" s="249"/>
      <c r="X22" s="51" t="s">
        <v>93</v>
      </c>
      <c r="Y22" s="250" t="str">
        <f>IF(H22=1,IF(AND(中間シート!G47&lt;&gt;"",中間シート!H47&lt;&gt;""),中間シート!G47&amp;"-"&amp;中間シート!H47,""),"")</f>
        <v/>
      </c>
      <c r="Z22" s="250"/>
      <c r="AA22" s="250"/>
      <c r="AB22" s="251" t="str">
        <f>IF(H22=1,中間シート!G48&amp;中間シート!G49&amp;中間シート!G50&amp;中間シート!G51,"")</f>
        <v/>
      </c>
      <c r="AC22" s="251"/>
      <c r="AD22" s="251"/>
      <c r="AE22" s="251"/>
      <c r="AF22" s="251"/>
      <c r="AG22" s="251"/>
      <c r="AH22" s="251"/>
      <c r="AI22" s="251"/>
      <c r="AJ22" s="251"/>
      <c r="AK22" s="251"/>
      <c r="AL22" s="251"/>
      <c r="AM22" s="251"/>
      <c r="AN22" s="251"/>
      <c r="AO22" s="251"/>
      <c r="AP22" s="252"/>
    </row>
    <row r="23" spans="1:42" ht="17.100000000000001" customHeight="1" x14ac:dyDescent="0.2">
      <c r="G23" s="20">
        <v>9</v>
      </c>
      <c r="H23" s="20">
        <f>IF(G23&lt;=中間シート!$G$3,1,0)</f>
        <v>0</v>
      </c>
      <c r="J23" s="248" t="s">
        <v>114</v>
      </c>
      <c r="K23" s="248"/>
      <c r="L23" s="248"/>
      <c r="M23" s="248"/>
      <c r="N23" s="249" t="str">
        <f>IF(H23=1,中間シート!G52,"")</f>
        <v/>
      </c>
      <c r="O23" s="249"/>
      <c r="P23" s="249"/>
      <c r="Q23" s="249"/>
      <c r="R23" s="249"/>
      <c r="S23" s="249"/>
      <c r="T23" s="249"/>
      <c r="U23" s="249"/>
      <c r="V23" s="249"/>
      <c r="W23" s="249"/>
      <c r="X23" s="51" t="s">
        <v>93</v>
      </c>
      <c r="Y23" s="250" t="str">
        <f>IF(H23=1,IF(AND(中間シート!G53&lt;&gt;"",中間シート!H53&lt;&gt;""),中間シート!G53&amp;"-"&amp;中間シート!H53,""),"")</f>
        <v/>
      </c>
      <c r="Z23" s="250"/>
      <c r="AA23" s="250"/>
      <c r="AB23" s="251" t="str">
        <f>IF(H23=1,中間シート!G54&amp;中間シート!G55&amp;中間シート!G56&amp;中間シート!G57,"")</f>
        <v/>
      </c>
      <c r="AC23" s="251"/>
      <c r="AD23" s="251"/>
      <c r="AE23" s="251"/>
      <c r="AF23" s="251"/>
      <c r="AG23" s="251"/>
      <c r="AH23" s="251"/>
      <c r="AI23" s="251"/>
      <c r="AJ23" s="251"/>
      <c r="AK23" s="251"/>
      <c r="AL23" s="251"/>
      <c r="AM23" s="251"/>
      <c r="AN23" s="251"/>
      <c r="AO23" s="251"/>
      <c r="AP23" s="252"/>
    </row>
    <row r="24" spans="1:42" ht="17.100000000000001" customHeight="1" x14ac:dyDescent="0.2">
      <c r="G24" s="20">
        <v>10</v>
      </c>
      <c r="H24" s="20">
        <f>IF(G24&lt;=中間シート!$G$3,1,0)</f>
        <v>0</v>
      </c>
      <c r="J24" s="248" t="s">
        <v>115</v>
      </c>
      <c r="K24" s="248"/>
      <c r="L24" s="248"/>
      <c r="M24" s="248"/>
      <c r="N24" s="249" t="str">
        <f>IF(H24=1,中間シート!G58,"")</f>
        <v/>
      </c>
      <c r="O24" s="249"/>
      <c r="P24" s="249"/>
      <c r="Q24" s="249"/>
      <c r="R24" s="249"/>
      <c r="S24" s="249"/>
      <c r="T24" s="249"/>
      <c r="U24" s="249"/>
      <c r="V24" s="249"/>
      <c r="W24" s="249"/>
      <c r="X24" s="51" t="s">
        <v>93</v>
      </c>
      <c r="Y24" s="250" t="str">
        <f>IF(H24=1,IF(AND(中間シート!G59&lt;&gt;"",中間シート!H59&lt;&gt;""),中間シート!G59&amp;"-"&amp;中間シート!H59,""),"")</f>
        <v/>
      </c>
      <c r="Z24" s="250"/>
      <c r="AA24" s="250"/>
      <c r="AB24" s="251" t="str">
        <f>IF(H24=1,中間シート!G60&amp;中間シート!G61&amp;中間シート!G62&amp;中間シート!G63,"")</f>
        <v/>
      </c>
      <c r="AC24" s="251"/>
      <c r="AD24" s="251"/>
      <c r="AE24" s="251"/>
      <c r="AF24" s="251"/>
      <c r="AG24" s="251"/>
      <c r="AH24" s="251"/>
      <c r="AI24" s="251"/>
      <c r="AJ24" s="251"/>
      <c r="AK24" s="251"/>
      <c r="AL24" s="251"/>
      <c r="AM24" s="251"/>
      <c r="AN24" s="251"/>
      <c r="AO24" s="251"/>
      <c r="AP24" s="252"/>
    </row>
    <row r="26" spans="1:42" x14ac:dyDescent="0.2">
      <c r="J26" s="23" t="s">
        <v>307</v>
      </c>
    </row>
    <row r="27" spans="1:42" ht="16.5" customHeight="1" x14ac:dyDescent="0.2">
      <c r="A27" s="20" t="s">
        <v>95</v>
      </c>
      <c r="B27" s="20" t="s">
        <v>96</v>
      </c>
      <c r="C27" s="20" t="s">
        <v>97</v>
      </c>
      <c r="D27" s="20" t="s">
        <v>98</v>
      </c>
      <c r="E27" s="20">
        <v>1</v>
      </c>
      <c r="F27" s="20">
        <v>2</v>
      </c>
      <c r="G27" s="20">
        <v>3</v>
      </c>
      <c r="H27" s="20">
        <v>4</v>
      </c>
      <c r="J27" s="248" t="s">
        <v>99</v>
      </c>
      <c r="K27" s="248"/>
      <c r="L27" s="248"/>
      <c r="M27" s="248"/>
      <c r="N27" s="267" t="s">
        <v>514</v>
      </c>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9"/>
    </row>
    <row r="28" spans="1:42" ht="16.5" customHeight="1" x14ac:dyDescent="0.2">
      <c r="A28" s="20">
        <f>中間シート!AI187</f>
        <v>9999</v>
      </c>
      <c r="B28" s="20" t="str">
        <f>中間シート!AK187</f>
        <v>事業場99</v>
      </c>
      <c r="C28" s="20" t="e">
        <f>中間シート!AJ187</f>
        <v>#N/A</v>
      </c>
      <c r="D28" s="20" t="str">
        <f>VLOOKUP($A28,中間シート!$D$187:$K$276,4)</f>
        <v/>
      </c>
      <c r="E28" s="20" t="str">
        <f>VLOOKUP($A28,中間シート!$D$187:$K$276,5)</f>
        <v/>
      </c>
      <c r="F28" s="20" t="str">
        <f>VLOOKUP($A28,中間シート!$D$187:$K$276,6)</f>
        <v/>
      </c>
      <c r="G28" s="20" t="str">
        <f>VLOOKUP($A28,中間シート!$D$187:$K$276,7)</f>
        <v/>
      </c>
      <c r="H28" s="20" t="str">
        <f>VLOOKUP($A28,中間シート!$D$187:$K$276,8)</f>
        <v/>
      </c>
      <c r="J28" s="248" t="s">
        <v>92</v>
      </c>
      <c r="K28" s="248"/>
      <c r="L28" s="248"/>
      <c r="M28" s="248"/>
      <c r="N28" s="260" t="str">
        <f>IF($A28&lt;&gt;9999,VLOOKUP($A28,中間シート!$D$187:$T$276,9,FALSE),"")</f>
        <v/>
      </c>
      <c r="O28" s="261"/>
      <c r="P28" s="261"/>
      <c r="Q28" s="261"/>
      <c r="R28" s="261"/>
      <c r="S28" s="261"/>
      <c r="T28" s="262"/>
      <c r="U28" s="258" t="s">
        <v>516</v>
      </c>
      <c r="V28" s="259"/>
      <c r="W28" s="260" t="str">
        <f>IF($A28&lt;&gt;9999,VLOOKUP($A28,中間シート!$D$187:$T$276,10,FALSE),"")</f>
        <v/>
      </c>
      <c r="X28" s="261"/>
      <c r="Y28" s="261"/>
      <c r="Z28" s="261"/>
      <c r="AA28" s="261"/>
      <c r="AB28" s="261"/>
      <c r="AC28" s="262"/>
      <c r="AD28" s="258" t="s">
        <v>516</v>
      </c>
      <c r="AE28" s="259"/>
      <c r="AF28" s="260" t="str">
        <f>IF($A28&lt;&gt;9999,VLOOKUP($A28,中間シート!$D$187:$T$276,11,FALSE),"")</f>
        <v/>
      </c>
      <c r="AG28" s="261"/>
      <c r="AH28" s="261"/>
      <c r="AI28" s="261"/>
      <c r="AJ28" s="261"/>
      <c r="AK28" s="262"/>
    </row>
    <row r="29" spans="1:42" ht="16.5" customHeight="1" x14ac:dyDescent="0.2">
      <c r="A29" s="20">
        <f>中間シート!AI188</f>
        <v>9999</v>
      </c>
      <c r="B29" s="20" t="str">
        <f>中間シート!AK188</f>
        <v>事業場99</v>
      </c>
      <c r="C29" s="20" t="e">
        <f>中間シート!AJ188</f>
        <v>#N/A</v>
      </c>
      <c r="D29" s="20" t="str">
        <f>VLOOKUP($A29,中間シート!$D$187:$K$276,4)</f>
        <v/>
      </c>
      <c r="E29" s="20" t="str">
        <f>VLOOKUP($A29,中間シート!$D$187:$K$276,5)</f>
        <v/>
      </c>
      <c r="F29" s="20" t="str">
        <f>VLOOKUP($A29,中間シート!$D$187:$K$276,6)</f>
        <v/>
      </c>
      <c r="G29" s="20" t="str">
        <f>VLOOKUP($A29,中間シート!$D$187:$K$276,7)</f>
        <v/>
      </c>
      <c r="H29" s="20" t="str">
        <f>VLOOKUP($A29,中間シート!$D$187:$K$276,8)</f>
        <v/>
      </c>
      <c r="J29" s="248" t="str">
        <f>IF(B29="事業場99","事業場2",B29)</f>
        <v>事業場2</v>
      </c>
      <c r="K29" s="248"/>
      <c r="L29" s="248"/>
      <c r="M29" s="248"/>
      <c r="N29" s="260" t="str">
        <f>IF($A29&lt;&gt;9999,IF($C29=2,VLOOKUP($A29,中間シート!$D$187:$T$276,14,FALSE),VLOOKUP($A29,中間シート!$D$187:$T$276,9,FALSE)),"")</f>
        <v/>
      </c>
      <c r="O29" s="261"/>
      <c r="P29" s="261"/>
      <c r="Q29" s="261"/>
      <c r="R29" s="261"/>
      <c r="S29" s="261"/>
      <c r="T29" s="262"/>
      <c r="U29" s="258" t="s">
        <v>516</v>
      </c>
      <c r="V29" s="259"/>
      <c r="W29" s="260" t="str">
        <f>IF($A29&lt;&gt;9999,IF($C29=2,VLOOKUP($A29,中間シート!$D$187:$T$276,15,FALSE),VLOOKUP($A29,中間シート!$D$187:$T$276,10,FALSE)),"")</f>
        <v/>
      </c>
      <c r="X29" s="261"/>
      <c r="Y29" s="261"/>
      <c r="Z29" s="261"/>
      <c r="AA29" s="261"/>
      <c r="AB29" s="261"/>
      <c r="AC29" s="262"/>
      <c r="AD29" s="258" t="s">
        <v>516</v>
      </c>
      <c r="AE29" s="259"/>
      <c r="AF29" s="260" t="str">
        <f>IF($A29&lt;&gt;9999,IF($C29=2,VLOOKUP($A29,中間シート!$D$187:$T$276,16,FALSE),VLOOKUP($A29,中間シート!$D$187:$T$276,11,FALSE)),"")</f>
        <v/>
      </c>
      <c r="AG29" s="261"/>
      <c r="AH29" s="261"/>
      <c r="AI29" s="261"/>
      <c r="AJ29" s="261"/>
      <c r="AK29" s="262"/>
    </row>
    <row r="30" spans="1:42" ht="16.5" customHeight="1" x14ac:dyDescent="0.2">
      <c r="A30" s="20">
        <f>中間シート!AI189</f>
        <v>9999</v>
      </c>
      <c r="B30" s="20" t="str">
        <f>中間シート!AK189</f>
        <v>事業場99</v>
      </c>
      <c r="C30" s="20" t="e">
        <f>中間シート!AJ189</f>
        <v>#N/A</v>
      </c>
      <c r="D30" s="20" t="str">
        <f>VLOOKUP($A30,中間シート!$D$187:$K$276,4)</f>
        <v/>
      </c>
      <c r="E30" s="20" t="str">
        <f>VLOOKUP($A30,中間シート!$D$187:$K$276,5)</f>
        <v/>
      </c>
      <c r="F30" s="20" t="str">
        <f>VLOOKUP($A30,中間シート!$D$187:$K$276,6)</f>
        <v/>
      </c>
      <c r="G30" s="20" t="str">
        <f>VLOOKUP($A30,中間シート!$D$187:$K$276,7)</f>
        <v/>
      </c>
      <c r="H30" s="20" t="str">
        <f>VLOOKUP($A30,中間シート!$D$187:$K$276,8)</f>
        <v/>
      </c>
      <c r="J30" s="248" t="str">
        <f>IF(B30="事業場99","",B30)</f>
        <v/>
      </c>
      <c r="K30" s="248"/>
      <c r="L30" s="248"/>
      <c r="M30" s="248"/>
      <c r="N30" s="260" t="str">
        <f>IF($A30&lt;&gt;9999,IF($C30=2,VLOOKUP($A30,中間シート!$D$187:$T$276,14,FALSE),VLOOKUP($A30,中間シート!$D$187:$T$276,9,FALSE)),"")</f>
        <v/>
      </c>
      <c r="O30" s="261"/>
      <c r="P30" s="261"/>
      <c r="Q30" s="261"/>
      <c r="R30" s="261"/>
      <c r="S30" s="261"/>
      <c r="T30" s="262"/>
      <c r="U30" s="258" t="s">
        <v>516</v>
      </c>
      <c r="V30" s="259"/>
      <c r="W30" s="260" t="str">
        <f>IF($A30&lt;&gt;9999,IF($C30=2,VLOOKUP($A30,中間シート!$D$187:$T$276,15,FALSE),VLOOKUP($A30,中間シート!$D$187:$T$276,10,FALSE)),"")</f>
        <v/>
      </c>
      <c r="X30" s="261"/>
      <c r="Y30" s="261"/>
      <c r="Z30" s="261"/>
      <c r="AA30" s="261"/>
      <c r="AB30" s="261"/>
      <c r="AC30" s="262"/>
      <c r="AD30" s="258" t="s">
        <v>516</v>
      </c>
      <c r="AE30" s="259"/>
      <c r="AF30" s="260" t="str">
        <f>IF($A30&lt;&gt;9999,IF($C30=2,VLOOKUP($A30,中間シート!$D$187:$T$276,16,FALSE),VLOOKUP($A30,中間シート!$D$187:$T$276,11,FALSE)),"")</f>
        <v/>
      </c>
      <c r="AG30" s="261"/>
      <c r="AH30" s="261"/>
      <c r="AI30" s="261"/>
      <c r="AJ30" s="261"/>
      <c r="AK30" s="262"/>
    </row>
    <row r="31" spans="1:42" ht="16.5" customHeight="1" x14ac:dyDescent="0.2">
      <c r="A31" s="20">
        <f>中間シート!AI190</f>
        <v>9999</v>
      </c>
      <c r="B31" s="20" t="str">
        <f>中間シート!AK190</f>
        <v>事業場99</v>
      </c>
      <c r="C31" s="20" t="e">
        <f>中間シート!AJ190</f>
        <v>#N/A</v>
      </c>
      <c r="D31" s="20" t="str">
        <f>VLOOKUP($A31,中間シート!$D$187:$K$276,4)</f>
        <v/>
      </c>
      <c r="E31" s="20" t="str">
        <f>VLOOKUP($A31,中間シート!$D$187:$K$276,5)</f>
        <v/>
      </c>
      <c r="F31" s="20" t="str">
        <f>VLOOKUP($A31,中間シート!$D$187:$K$276,6)</f>
        <v/>
      </c>
      <c r="G31" s="20" t="str">
        <f>VLOOKUP($A31,中間シート!$D$187:$K$276,7)</f>
        <v/>
      </c>
      <c r="H31" s="20" t="str">
        <f>VLOOKUP($A31,中間シート!$D$187:$K$276,8)</f>
        <v/>
      </c>
      <c r="J31" s="248" t="str">
        <f t="shared" ref="J31:J57" si="0">IF(B31="事業場99","",B31)</f>
        <v/>
      </c>
      <c r="K31" s="248"/>
      <c r="L31" s="248"/>
      <c r="M31" s="248"/>
      <c r="N31" s="260" t="str">
        <f>IF($A31&lt;&gt;9999,IF($C31=2,VLOOKUP($A31,中間シート!$D$187:$T$276,14,FALSE),VLOOKUP($A31,中間シート!$D$187:$T$276,9,FALSE)),"")</f>
        <v/>
      </c>
      <c r="O31" s="261"/>
      <c r="P31" s="261"/>
      <c r="Q31" s="261"/>
      <c r="R31" s="261"/>
      <c r="S31" s="261"/>
      <c r="T31" s="262"/>
      <c r="U31" s="258" t="s">
        <v>516</v>
      </c>
      <c r="V31" s="259"/>
      <c r="W31" s="260" t="str">
        <f>IF($A31&lt;&gt;9999,IF($C31=2,VLOOKUP($A31,中間シート!$D$187:$T$276,15,FALSE),VLOOKUP($A31,中間シート!$D$187:$T$276,10,FALSE)),"")</f>
        <v/>
      </c>
      <c r="X31" s="261"/>
      <c r="Y31" s="261"/>
      <c r="Z31" s="261"/>
      <c r="AA31" s="261"/>
      <c r="AB31" s="261"/>
      <c r="AC31" s="262"/>
      <c r="AD31" s="258" t="s">
        <v>516</v>
      </c>
      <c r="AE31" s="259"/>
      <c r="AF31" s="260" t="str">
        <f>IF($A31&lt;&gt;9999,IF($C31=2,VLOOKUP($A31,中間シート!$D$187:$T$276,16,FALSE),VLOOKUP($A31,中間シート!$D$187:$T$276,11,FALSE)),"")</f>
        <v/>
      </c>
      <c r="AG31" s="261"/>
      <c r="AH31" s="261"/>
      <c r="AI31" s="261"/>
      <c r="AJ31" s="261"/>
      <c r="AK31" s="262"/>
    </row>
    <row r="32" spans="1:42" ht="16.5" customHeight="1" x14ac:dyDescent="0.2">
      <c r="A32" s="20">
        <f>中間シート!AI191</f>
        <v>9999</v>
      </c>
      <c r="B32" s="20" t="str">
        <f>中間シート!AK191</f>
        <v>事業場99</v>
      </c>
      <c r="C32" s="20" t="e">
        <f>中間シート!AJ191</f>
        <v>#N/A</v>
      </c>
      <c r="D32" s="20" t="str">
        <f>VLOOKUP($A32,中間シート!$D$187:$K$276,4)</f>
        <v/>
      </c>
      <c r="E32" s="20" t="str">
        <f>VLOOKUP($A32,中間シート!$D$187:$K$276,5)</f>
        <v/>
      </c>
      <c r="F32" s="20" t="str">
        <f>VLOOKUP($A32,中間シート!$D$187:$K$276,6)</f>
        <v/>
      </c>
      <c r="G32" s="20" t="str">
        <f>VLOOKUP($A32,中間シート!$D$187:$K$276,7)</f>
        <v/>
      </c>
      <c r="H32" s="20" t="str">
        <f>VLOOKUP($A32,中間シート!$D$187:$K$276,8)</f>
        <v/>
      </c>
      <c r="J32" s="248" t="str">
        <f t="shared" si="0"/>
        <v/>
      </c>
      <c r="K32" s="248"/>
      <c r="L32" s="248"/>
      <c r="M32" s="248"/>
      <c r="N32" s="260" t="str">
        <f>IF($A32&lt;&gt;9999,IF($C32=2,VLOOKUP($A32,中間シート!$D$187:$T$276,14,FALSE),VLOOKUP($A32,中間シート!$D$187:$T$276,9,FALSE)),"")</f>
        <v/>
      </c>
      <c r="O32" s="261"/>
      <c r="P32" s="261"/>
      <c r="Q32" s="261"/>
      <c r="R32" s="261"/>
      <c r="S32" s="261"/>
      <c r="T32" s="262"/>
      <c r="U32" s="258" t="s">
        <v>516</v>
      </c>
      <c r="V32" s="259"/>
      <c r="W32" s="260" t="str">
        <f>IF($A32&lt;&gt;9999,IF($C32=2,VLOOKUP($A32,中間シート!$D$187:$T$276,15,FALSE),VLOOKUP($A32,中間シート!$D$187:$T$276,10,FALSE)),"")</f>
        <v/>
      </c>
      <c r="X32" s="261"/>
      <c r="Y32" s="261"/>
      <c r="Z32" s="261"/>
      <c r="AA32" s="261"/>
      <c r="AB32" s="261"/>
      <c r="AC32" s="262"/>
      <c r="AD32" s="258" t="s">
        <v>516</v>
      </c>
      <c r="AE32" s="259"/>
      <c r="AF32" s="260" t="str">
        <f>IF($A32&lt;&gt;9999,IF($C32=2,VLOOKUP($A32,中間シート!$D$187:$T$276,16,FALSE),VLOOKUP($A32,中間シート!$D$187:$T$276,11,FALSE)),"")</f>
        <v/>
      </c>
      <c r="AG32" s="261"/>
      <c r="AH32" s="261"/>
      <c r="AI32" s="261"/>
      <c r="AJ32" s="261"/>
      <c r="AK32" s="262"/>
    </row>
    <row r="33" spans="1:37" ht="16.5" customHeight="1" x14ac:dyDescent="0.2">
      <c r="A33" s="20">
        <f>中間シート!AI192</f>
        <v>9999</v>
      </c>
      <c r="B33" s="20" t="str">
        <f>中間シート!AK192</f>
        <v>事業場99</v>
      </c>
      <c r="C33" s="20" t="e">
        <f>中間シート!AJ192</f>
        <v>#N/A</v>
      </c>
      <c r="D33" s="20" t="str">
        <f>VLOOKUP($A33,中間シート!$D$187:$K$276,4)</f>
        <v/>
      </c>
      <c r="E33" s="20" t="str">
        <f>VLOOKUP($A33,中間シート!$D$187:$K$276,5)</f>
        <v/>
      </c>
      <c r="F33" s="20" t="str">
        <f>VLOOKUP($A33,中間シート!$D$187:$K$276,6)</f>
        <v/>
      </c>
      <c r="G33" s="20" t="str">
        <f>VLOOKUP($A33,中間シート!$D$187:$K$276,7)</f>
        <v/>
      </c>
      <c r="H33" s="20" t="str">
        <f>VLOOKUP($A33,中間シート!$D$187:$K$276,8)</f>
        <v/>
      </c>
      <c r="J33" s="248" t="str">
        <f t="shared" si="0"/>
        <v/>
      </c>
      <c r="K33" s="248"/>
      <c r="L33" s="248"/>
      <c r="M33" s="248"/>
      <c r="N33" s="260" t="str">
        <f>IF($A33&lt;&gt;9999,IF($C33=2,VLOOKUP($A33,中間シート!$D$187:$T$276,14,FALSE),VLOOKUP($A33,中間シート!$D$187:$T$276,9,FALSE)),"")</f>
        <v/>
      </c>
      <c r="O33" s="261"/>
      <c r="P33" s="261"/>
      <c r="Q33" s="261"/>
      <c r="R33" s="261"/>
      <c r="S33" s="261"/>
      <c r="T33" s="262"/>
      <c r="U33" s="258" t="s">
        <v>516</v>
      </c>
      <c r="V33" s="259"/>
      <c r="W33" s="260" t="str">
        <f>IF($A33&lt;&gt;9999,IF($C33=2,VLOOKUP($A33,中間シート!$D$187:$T$276,15,FALSE),VLOOKUP($A33,中間シート!$D$187:$T$276,10,FALSE)),"")</f>
        <v/>
      </c>
      <c r="X33" s="261"/>
      <c r="Y33" s="261"/>
      <c r="Z33" s="261"/>
      <c r="AA33" s="261"/>
      <c r="AB33" s="261"/>
      <c r="AC33" s="262"/>
      <c r="AD33" s="258" t="s">
        <v>516</v>
      </c>
      <c r="AE33" s="259"/>
      <c r="AF33" s="260" t="str">
        <f>IF($A33&lt;&gt;9999,IF($C33=2,VLOOKUP($A33,中間シート!$D$187:$T$276,16,FALSE),VLOOKUP($A33,中間シート!$D$187:$T$276,11,FALSE)),"")</f>
        <v/>
      </c>
      <c r="AG33" s="261"/>
      <c r="AH33" s="261"/>
      <c r="AI33" s="261"/>
      <c r="AJ33" s="261"/>
      <c r="AK33" s="262"/>
    </row>
    <row r="34" spans="1:37" ht="16.5" customHeight="1" x14ac:dyDescent="0.2">
      <c r="A34" s="20">
        <f>中間シート!AI193</f>
        <v>9999</v>
      </c>
      <c r="B34" s="20" t="str">
        <f>中間シート!AK193</f>
        <v>事業場99</v>
      </c>
      <c r="C34" s="20" t="e">
        <f>中間シート!AJ193</f>
        <v>#N/A</v>
      </c>
      <c r="D34" s="20" t="str">
        <f>VLOOKUP($A34,中間シート!$D$187:$K$276,4)</f>
        <v/>
      </c>
      <c r="E34" s="20" t="str">
        <f>VLOOKUP($A34,中間シート!$D$187:$K$276,5)</f>
        <v/>
      </c>
      <c r="F34" s="20" t="str">
        <f>VLOOKUP($A34,中間シート!$D$187:$K$276,6)</f>
        <v/>
      </c>
      <c r="G34" s="20" t="str">
        <f>VLOOKUP($A34,中間シート!$D$187:$K$276,7)</f>
        <v/>
      </c>
      <c r="H34" s="20" t="str">
        <f>VLOOKUP($A34,中間シート!$D$187:$K$276,8)</f>
        <v/>
      </c>
      <c r="J34" s="248" t="str">
        <f t="shared" si="0"/>
        <v/>
      </c>
      <c r="K34" s="248"/>
      <c r="L34" s="248"/>
      <c r="M34" s="248"/>
      <c r="N34" s="260" t="str">
        <f>IF($A34&lt;&gt;9999,IF($C34=2,VLOOKUP($A34,中間シート!$D$187:$T$276,14,FALSE),VLOOKUP($A34,中間シート!$D$187:$T$276,9,FALSE)),"")</f>
        <v/>
      </c>
      <c r="O34" s="261"/>
      <c r="P34" s="261"/>
      <c r="Q34" s="261"/>
      <c r="R34" s="261"/>
      <c r="S34" s="261"/>
      <c r="T34" s="262"/>
      <c r="U34" s="258" t="s">
        <v>516</v>
      </c>
      <c r="V34" s="259"/>
      <c r="W34" s="260" t="str">
        <f>IF($A34&lt;&gt;9999,IF($C34=2,VLOOKUP($A34,中間シート!$D$187:$T$276,15,FALSE),VLOOKUP($A34,中間シート!$D$187:$T$276,10,FALSE)),"")</f>
        <v/>
      </c>
      <c r="X34" s="261"/>
      <c r="Y34" s="261"/>
      <c r="Z34" s="261"/>
      <c r="AA34" s="261"/>
      <c r="AB34" s="261"/>
      <c r="AC34" s="262"/>
      <c r="AD34" s="258" t="s">
        <v>516</v>
      </c>
      <c r="AE34" s="259"/>
      <c r="AF34" s="260" t="str">
        <f>IF($A34&lt;&gt;9999,IF($C34=2,VLOOKUP($A34,中間シート!$D$187:$T$276,16,FALSE),VLOOKUP($A34,中間シート!$D$187:$T$276,11,FALSE)),"")</f>
        <v/>
      </c>
      <c r="AG34" s="261"/>
      <c r="AH34" s="261"/>
      <c r="AI34" s="261"/>
      <c r="AJ34" s="261"/>
      <c r="AK34" s="262"/>
    </row>
    <row r="35" spans="1:37" ht="16.5" customHeight="1" x14ac:dyDescent="0.2">
      <c r="A35" s="20">
        <f>中間シート!AI194</f>
        <v>9999</v>
      </c>
      <c r="B35" s="20" t="str">
        <f>中間シート!AK194</f>
        <v>事業場99</v>
      </c>
      <c r="C35" s="20" t="e">
        <f>中間シート!AJ194</f>
        <v>#N/A</v>
      </c>
      <c r="D35" s="20" t="str">
        <f>VLOOKUP($A35,中間シート!$D$187:$K$276,4)</f>
        <v/>
      </c>
      <c r="E35" s="20" t="str">
        <f>VLOOKUP($A35,中間シート!$D$187:$K$276,5)</f>
        <v/>
      </c>
      <c r="F35" s="20" t="str">
        <f>VLOOKUP($A35,中間シート!$D$187:$K$276,6)</f>
        <v/>
      </c>
      <c r="G35" s="20" t="str">
        <f>VLOOKUP($A35,中間シート!$D$187:$K$276,7)</f>
        <v/>
      </c>
      <c r="H35" s="20" t="str">
        <f>VLOOKUP($A35,中間シート!$D$187:$K$276,8)</f>
        <v/>
      </c>
      <c r="J35" s="248" t="str">
        <f t="shared" si="0"/>
        <v/>
      </c>
      <c r="K35" s="248"/>
      <c r="L35" s="248"/>
      <c r="M35" s="248"/>
      <c r="N35" s="260" t="str">
        <f>IF($A35&lt;&gt;9999,IF($C35=2,VLOOKUP($A35,中間シート!$D$187:$T$276,14,FALSE),VLOOKUP($A35,中間シート!$D$187:$T$276,9,FALSE)),"")</f>
        <v/>
      </c>
      <c r="O35" s="261"/>
      <c r="P35" s="261"/>
      <c r="Q35" s="261"/>
      <c r="R35" s="261"/>
      <c r="S35" s="261"/>
      <c r="T35" s="262"/>
      <c r="U35" s="258" t="s">
        <v>516</v>
      </c>
      <c r="V35" s="259"/>
      <c r="W35" s="260" t="str">
        <f>IF($A35&lt;&gt;9999,IF($C35=2,VLOOKUP($A35,中間シート!$D$187:$T$276,15,FALSE),VLOOKUP($A35,中間シート!$D$187:$T$276,10,FALSE)),"")</f>
        <v/>
      </c>
      <c r="X35" s="261"/>
      <c r="Y35" s="261"/>
      <c r="Z35" s="261"/>
      <c r="AA35" s="261"/>
      <c r="AB35" s="261"/>
      <c r="AC35" s="262"/>
      <c r="AD35" s="258" t="s">
        <v>516</v>
      </c>
      <c r="AE35" s="259"/>
      <c r="AF35" s="260" t="str">
        <f>IF($A35&lt;&gt;9999,IF($C35=2,VLOOKUP($A35,中間シート!$D$187:$T$276,16,FALSE),VLOOKUP($A35,中間シート!$D$187:$T$276,11,FALSE)),"")</f>
        <v/>
      </c>
      <c r="AG35" s="261"/>
      <c r="AH35" s="261"/>
      <c r="AI35" s="261"/>
      <c r="AJ35" s="261"/>
      <c r="AK35" s="262"/>
    </row>
    <row r="36" spans="1:37" ht="16.5" customHeight="1" x14ac:dyDescent="0.2">
      <c r="A36" s="20">
        <f>中間シート!AI195</f>
        <v>9999</v>
      </c>
      <c r="B36" s="20" t="str">
        <f>中間シート!AK195</f>
        <v>事業場99</v>
      </c>
      <c r="C36" s="20" t="e">
        <f>中間シート!AJ195</f>
        <v>#N/A</v>
      </c>
      <c r="D36" s="20" t="str">
        <f>VLOOKUP($A36,中間シート!$D$187:$K$276,4)</f>
        <v/>
      </c>
      <c r="E36" s="20" t="str">
        <f>VLOOKUP($A36,中間シート!$D$187:$K$276,5)</f>
        <v/>
      </c>
      <c r="F36" s="20" t="str">
        <f>VLOOKUP($A36,中間シート!$D$187:$K$276,6)</f>
        <v/>
      </c>
      <c r="G36" s="20" t="str">
        <f>VLOOKUP($A36,中間シート!$D$187:$K$276,7)</f>
        <v/>
      </c>
      <c r="H36" s="20" t="str">
        <f>VLOOKUP($A36,中間シート!$D$187:$K$276,8)</f>
        <v/>
      </c>
      <c r="J36" s="248" t="str">
        <f t="shared" si="0"/>
        <v/>
      </c>
      <c r="K36" s="248"/>
      <c r="L36" s="248"/>
      <c r="M36" s="248"/>
      <c r="N36" s="260" t="str">
        <f>IF($A36&lt;&gt;9999,IF($C36=2,VLOOKUP($A36,中間シート!$D$187:$T$276,14,FALSE),VLOOKUP($A36,中間シート!$D$187:$T$276,9,FALSE)),"")</f>
        <v/>
      </c>
      <c r="O36" s="261"/>
      <c r="P36" s="261"/>
      <c r="Q36" s="261"/>
      <c r="R36" s="261"/>
      <c r="S36" s="261"/>
      <c r="T36" s="262"/>
      <c r="U36" s="258" t="s">
        <v>516</v>
      </c>
      <c r="V36" s="259"/>
      <c r="W36" s="260" t="str">
        <f>IF($A36&lt;&gt;9999,IF($C36=2,VLOOKUP($A36,中間シート!$D$187:$T$276,15,FALSE),VLOOKUP($A36,中間シート!$D$187:$T$276,10,FALSE)),"")</f>
        <v/>
      </c>
      <c r="X36" s="261"/>
      <c r="Y36" s="261"/>
      <c r="Z36" s="261"/>
      <c r="AA36" s="261"/>
      <c r="AB36" s="261"/>
      <c r="AC36" s="262"/>
      <c r="AD36" s="258" t="s">
        <v>516</v>
      </c>
      <c r="AE36" s="259"/>
      <c r="AF36" s="260" t="str">
        <f>IF($A36&lt;&gt;9999,IF($C36=2,VLOOKUP($A36,中間シート!$D$187:$T$276,16,FALSE),VLOOKUP($A36,中間シート!$D$187:$T$276,11,FALSE)),"")</f>
        <v/>
      </c>
      <c r="AG36" s="261"/>
      <c r="AH36" s="261"/>
      <c r="AI36" s="261"/>
      <c r="AJ36" s="261"/>
      <c r="AK36" s="262"/>
    </row>
    <row r="37" spans="1:37" ht="16.5" customHeight="1" x14ac:dyDescent="0.2">
      <c r="A37" s="20">
        <f>中間シート!AI196</f>
        <v>9999</v>
      </c>
      <c r="B37" s="20" t="str">
        <f>中間シート!AK196</f>
        <v>事業場99</v>
      </c>
      <c r="C37" s="20" t="e">
        <f>中間シート!AJ196</f>
        <v>#N/A</v>
      </c>
      <c r="D37" s="20" t="str">
        <f>VLOOKUP($A37,中間シート!$D$187:$K$276,4)</f>
        <v/>
      </c>
      <c r="E37" s="20" t="str">
        <f>VLOOKUP($A37,中間シート!$D$187:$K$276,5)</f>
        <v/>
      </c>
      <c r="F37" s="20" t="str">
        <f>VLOOKUP($A37,中間シート!$D$187:$K$276,6)</f>
        <v/>
      </c>
      <c r="G37" s="20" t="str">
        <f>VLOOKUP($A37,中間シート!$D$187:$K$276,7)</f>
        <v/>
      </c>
      <c r="H37" s="20" t="str">
        <f>VLOOKUP($A37,中間シート!$D$187:$K$276,8)</f>
        <v/>
      </c>
      <c r="J37" s="248" t="str">
        <f t="shared" si="0"/>
        <v/>
      </c>
      <c r="K37" s="248"/>
      <c r="L37" s="248"/>
      <c r="M37" s="248"/>
      <c r="N37" s="260" t="str">
        <f>IF($A37&lt;&gt;9999,IF($C37=2,VLOOKUP($A37,中間シート!$D$187:$T$276,14,FALSE),VLOOKUP($A37,中間シート!$D$187:$T$276,9,FALSE)),"")</f>
        <v/>
      </c>
      <c r="O37" s="261"/>
      <c r="P37" s="261"/>
      <c r="Q37" s="261"/>
      <c r="R37" s="261"/>
      <c r="S37" s="261"/>
      <c r="T37" s="262"/>
      <c r="U37" s="258" t="s">
        <v>516</v>
      </c>
      <c r="V37" s="259"/>
      <c r="W37" s="260" t="str">
        <f>IF($A37&lt;&gt;9999,IF($C37=2,VLOOKUP($A37,中間シート!$D$187:$T$276,15,FALSE),VLOOKUP($A37,中間シート!$D$187:$T$276,10,FALSE)),"")</f>
        <v/>
      </c>
      <c r="X37" s="261"/>
      <c r="Y37" s="261"/>
      <c r="Z37" s="261"/>
      <c r="AA37" s="261"/>
      <c r="AB37" s="261"/>
      <c r="AC37" s="262"/>
      <c r="AD37" s="258" t="s">
        <v>516</v>
      </c>
      <c r="AE37" s="259"/>
      <c r="AF37" s="260" t="str">
        <f>IF($A37&lt;&gt;9999,IF($C37=2,VLOOKUP($A37,中間シート!$D$187:$T$276,16,FALSE),VLOOKUP($A37,中間シート!$D$187:$T$276,11,FALSE)),"")</f>
        <v/>
      </c>
      <c r="AG37" s="261"/>
      <c r="AH37" s="261"/>
      <c r="AI37" s="261"/>
      <c r="AJ37" s="261"/>
      <c r="AK37" s="262"/>
    </row>
    <row r="38" spans="1:37" ht="16.5" customHeight="1" x14ac:dyDescent="0.2">
      <c r="A38" s="20">
        <f>中間シート!AI197</f>
        <v>9999</v>
      </c>
      <c r="B38" s="20" t="str">
        <f>中間シート!AK197</f>
        <v>事業場99</v>
      </c>
      <c r="C38" s="20" t="e">
        <f>中間シート!AJ197</f>
        <v>#N/A</v>
      </c>
      <c r="D38" s="20" t="str">
        <f>VLOOKUP($A38,中間シート!$D$187:$K$276,4)</f>
        <v/>
      </c>
      <c r="E38" s="20" t="str">
        <f>VLOOKUP($A38,中間シート!$D$187:$K$276,5)</f>
        <v/>
      </c>
      <c r="F38" s="20" t="str">
        <f>VLOOKUP($A38,中間シート!$D$187:$K$276,6)</f>
        <v/>
      </c>
      <c r="G38" s="20" t="str">
        <f>VLOOKUP($A38,中間シート!$D$187:$K$276,7)</f>
        <v/>
      </c>
      <c r="H38" s="20" t="str">
        <f>VLOOKUP($A38,中間シート!$D$187:$K$276,8)</f>
        <v/>
      </c>
      <c r="J38" s="248" t="str">
        <f t="shared" si="0"/>
        <v/>
      </c>
      <c r="K38" s="248"/>
      <c r="L38" s="248"/>
      <c r="M38" s="248"/>
      <c r="N38" s="260" t="str">
        <f>IF($A38&lt;&gt;9999,IF($C38=2,VLOOKUP($A38,中間シート!$D$187:$T$276,14,FALSE),VLOOKUP($A38,中間シート!$D$187:$T$276,9,FALSE)),"")</f>
        <v/>
      </c>
      <c r="O38" s="261"/>
      <c r="P38" s="261"/>
      <c r="Q38" s="261"/>
      <c r="R38" s="261"/>
      <c r="S38" s="261"/>
      <c r="T38" s="262"/>
      <c r="U38" s="258" t="s">
        <v>516</v>
      </c>
      <c r="V38" s="259"/>
      <c r="W38" s="260" t="str">
        <f>IF($A38&lt;&gt;9999,IF($C38=2,VLOOKUP($A38,中間シート!$D$187:$T$276,15,FALSE),VLOOKUP($A38,中間シート!$D$187:$T$276,10,FALSE)),"")</f>
        <v/>
      </c>
      <c r="X38" s="261"/>
      <c r="Y38" s="261"/>
      <c r="Z38" s="261"/>
      <c r="AA38" s="261"/>
      <c r="AB38" s="261"/>
      <c r="AC38" s="262"/>
      <c r="AD38" s="258" t="s">
        <v>516</v>
      </c>
      <c r="AE38" s="259"/>
      <c r="AF38" s="260" t="str">
        <f>IF($A38&lt;&gt;9999,IF($C38=2,VLOOKUP($A38,中間シート!$D$187:$T$276,16,FALSE),VLOOKUP($A38,中間シート!$D$187:$T$276,11,FALSE)),"")</f>
        <v/>
      </c>
      <c r="AG38" s="261"/>
      <c r="AH38" s="261"/>
      <c r="AI38" s="261"/>
      <c r="AJ38" s="261"/>
      <c r="AK38" s="262"/>
    </row>
    <row r="39" spans="1:37" ht="16.5" customHeight="1" x14ac:dyDescent="0.2">
      <c r="A39" s="20">
        <f>中間シート!AI198</f>
        <v>9999</v>
      </c>
      <c r="B39" s="20" t="str">
        <f>中間シート!AK198</f>
        <v>事業場99</v>
      </c>
      <c r="C39" s="20" t="e">
        <f>中間シート!AJ198</f>
        <v>#N/A</v>
      </c>
      <c r="D39" s="20" t="str">
        <f>VLOOKUP($A39,中間シート!$D$187:$K$276,4)</f>
        <v/>
      </c>
      <c r="E39" s="20" t="str">
        <f>VLOOKUP($A39,中間シート!$D$187:$K$276,5)</f>
        <v/>
      </c>
      <c r="F39" s="20" t="str">
        <f>VLOOKUP($A39,中間シート!$D$187:$K$276,6)</f>
        <v/>
      </c>
      <c r="G39" s="20" t="str">
        <f>VLOOKUP($A39,中間シート!$D$187:$K$276,7)</f>
        <v/>
      </c>
      <c r="H39" s="20" t="str">
        <f>VLOOKUP($A39,中間シート!$D$187:$K$276,8)</f>
        <v/>
      </c>
      <c r="J39" s="248" t="str">
        <f t="shared" si="0"/>
        <v/>
      </c>
      <c r="K39" s="248"/>
      <c r="L39" s="248"/>
      <c r="M39" s="248"/>
      <c r="N39" s="260" t="str">
        <f>IF($A39&lt;&gt;9999,IF($C39=2,VLOOKUP($A39,中間シート!$D$187:$T$276,14,FALSE),VLOOKUP($A39,中間シート!$D$187:$T$276,9,FALSE)),"")</f>
        <v/>
      </c>
      <c r="O39" s="261"/>
      <c r="P39" s="261"/>
      <c r="Q39" s="261"/>
      <c r="R39" s="261"/>
      <c r="S39" s="261"/>
      <c r="T39" s="262"/>
      <c r="U39" s="258" t="s">
        <v>516</v>
      </c>
      <c r="V39" s="259"/>
      <c r="W39" s="260" t="str">
        <f>IF($A39&lt;&gt;9999,IF($C39=2,VLOOKUP($A39,中間シート!$D$187:$T$276,15,FALSE),VLOOKUP($A39,中間シート!$D$187:$T$276,10,FALSE)),"")</f>
        <v/>
      </c>
      <c r="X39" s="261"/>
      <c r="Y39" s="261"/>
      <c r="Z39" s="261"/>
      <c r="AA39" s="261"/>
      <c r="AB39" s="261"/>
      <c r="AC39" s="262"/>
      <c r="AD39" s="258" t="s">
        <v>516</v>
      </c>
      <c r="AE39" s="259"/>
      <c r="AF39" s="260" t="str">
        <f>IF($A39&lt;&gt;9999,IF($C39=2,VLOOKUP($A39,中間シート!$D$187:$T$276,16,FALSE),VLOOKUP($A39,中間シート!$D$187:$T$276,11,FALSE)),"")</f>
        <v/>
      </c>
      <c r="AG39" s="261"/>
      <c r="AH39" s="261"/>
      <c r="AI39" s="261"/>
      <c r="AJ39" s="261"/>
      <c r="AK39" s="262"/>
    </row>
    <row r="40" spans="1:37" ht="16.5" customHeight="1" x14ac:dyDescent="0.2">
      <c r="A40" s="20">
        <f>中間シート!AI199</f>
        <v>9999</v>
      </c>
      <c r="B40" s="20" t="str">
        <f>中間シート!AK199</f>
        <v>事業場99</v>
      </c>
      <c r="C40" s="20" t="e">
        <f>中間シート!AJ199</f>
        <v>#N/A</v>
      </c>
      <c r="D40" s="20" t="str">
        <f>VLOOKUP($A40,中間シート!$D$187:$K$276,4)</f>
        <v/>
      </c>
      <c r="E40" s="20" t="str">
        <f>VLOOKUP($A40,中間シート!$D$187:$K$276,5)</f>
        <v/>
      </c>
      <c r="F40" s="20" t="str">
        <f>VLOOKUP($A40,中間シート!$D$187:$K$276,6)</f>
        <v/>
      </c>
      <c r="G40" s="20" t="str">
        <f>VLOOKUP($A40,中間シート!$D$187:$K$276,7)</f>
        <v/>
      </c>
      <c r="H40" s="20" t="str">
        <f>VLOOKUP($A40,中間シート!$D$187:$K$276,8)</f>
        <v/>
      </c>
      <c r="J40" s="248" t="str">
        <f t="shared" si="0"/>
        <v/>
      </c>
      <c r="K40" s="248"/>
      <c r="L40" s="248"/>
      <c r="M40" s="248"/>
      <c r="N40" s="260" t="str">
        <f>IF($A40&lt;&gt;9999,IF($C40=2,VLOOKUP($A40,中間シート!$D$187:$T$276,14,FALSE),VLOOKUP($A40,中間シート!$D$187:$T$276,9,FALSE)),"")</f>
        <v/>
      </c>
      <c r="O40" s="261"/>
      <c r="P40" s="261"/>
      <c r="Q40" s="261"/>
      <c r="R40" s="261"/>
      <c r="S40" s="261"/>
      <c r="T40" s="262"/>
      <c r="U40" s="258" t="s">
        <v>516</v>
      </c>
      <c r="V40" s="259"/>
      <c r="W40" s="260" t="str">
        <f>IF($A40&lt;&gt;9999,IF($C40=2,VLOOKUP($A40,中間シート!$D$187:$T$276,15,FALSE),VLOOKUP($A40,中間シート!$D$187:$T$276,10,FALSE)),"")</f>
        <v/>
      </c>
      <c r="X40" s="261"/>
      <c r="Y40" s="261"/>
      <c r="Z40" s="261"/>
      <c r="AA40" s="261"/>
      <c r="AB40" s="261"/>
      <c r="AC40" s="262"/>
      <c r="AD40" s="258" t="s">
        <v>516</v>
      </c>
      <c r="AE40" s="259"/>
      <c r="AF40" s="260" t="str">
        <f>IF($A40&lt;&gt;9999,IF($C40=2,VLOOKUP($A40,中間シート!$D$187:$T$276,16,FALSE),VLOOKUP($A40,中間シート!$D$187:$T$276,11,FALSE)),"")</f>
        <v/>
      </c>
      <c r="AG40" s="261"/>
      <c r="AH40" s="261"/>
      <c r="AI40" s="261"/>
      <c r="AJ40" s="261"/>
      <c r="AK40" s="262"/>
    </row>
    <row r="41" spans="1:37" ht="16.5" customHeight="1" x14ac:dyDescent="0.2">
      <c r="A41" s="20">
        <f>中間シート!AI200</f>
        <v>9999</v>
      </c>
      <c r="B41" s="20" t="str">
        <f>中間シート!AK200</f>
        <v>事業場99</v>
      </c>
      <c r="C41" s="20" t="e">
        <f>中間シート!AJ200</f>
        <v>#N/A</v>
      </c>
      <c r="D41" s="20" t="str">
        <f>VLOOKUP($A41,中間シート!$D$187:$K$276,4)</f>
        <v/>
      </c>
      <c r="E41" s="20" t="str">
        <f>VLOOKUP($A41,中間シート!$D$187:$K$276,5)</f>
        <v/>
      </c>
      <c r="F41" s="20" t="str">
        <f>VLOOKUP($A41,中間シート!$D$187:$K$276,6)</f>
        <v/>
      </c>
      <c r="G41" s="20" t="str">
        <f>VLOOKUP($A41,中間シート!$D$187:$K$276,7)</f>
        <v/>
      </c>
      <c r="H41" s="20" t="str">
        <f>VLOOKUP($A41,中間シート!$D$187:$K$276,8)</f>
        <v/>
      </c>
      <c r="J41" s="248" t="str">
        <f t="shared" si="0"/>
        <v/>
      </c>
      <c r="K41" s="248"/>
      <c r="L41" s="248"/>
      <c r="M41" s="248"/>
      <c r="N41" s="260" t="str">
        <f>IF($A41&lt;&gt;9999,IF($C41=2,VLOOKUP($A41,中間シート!$D$187:$T$276,14,FALSE),VLOOKUP($A41,中間シート!$D$187:$T$276,9,FALSE)),"")</f>
        <v/>
      </c>
      <c r="O41" s="261"/>
      <c r="P41" s="261"/>
      <c r="Q41" s="261"/>
      <c r="R41" s="261"/>
      <c r="S41" s="261"/>
      <c r="T41" s="262"/>
      <c r="U41" s="258" t="s">
        <v>516</v>
      </c>
      <c r="V41" s="259"/>
      <c r="W41" s="260" t="str">
        <f>IF($A41&lt;&gt;9999,IF($C41=2,VLOOKUP($A41,中間シート!$D$187:$T$276,15,FALSE),VLOOKUP($A41,中間シート!$D$187:$T$276,10,FALSE)),"")</f>
        <v/>
      </c>
      <c r="X41" s="261"/>
      <c r="Y41" s="261"/>
      <c r="Z41" s="261"/>
      <c r="AA41" s="261"/>
      <c r="AB41" s="261"/>
      <c r="AC41" s="262"/>
      <c r="AD41" s="258" t="s">
        <v>516</v>
      </c>
      <c r="AE41" s="259"/>
      <c r="AF41" s="260" t="str">
        <f>IF($A41&lt;&gt;9999,IF($C41=2,VLOOKUP($A41,中間シート!$D$187:$T$276,16,FALSE),VLOOKUP($A41,中間シート!$D$187:$T$276,11,FALSE)),"")</f>
        <v/>
      </c>
      <c r="AG41" s="261"/>
      <c r="AH41" s="261"/>
      <c r="AI41" s="261"/>
      <c r="AJ41" s="261"/>
      <c r="AK41" s="262"/>
    </row>
    <row r="42" spans="1:37" ht="16.5" customHeight="1" x14ac:dyDescent="0.2">
      <c r="A42" s="20">
        <f>中間シート!AI201</f>
        <v>9999</v>
      </c>
      <c r="B42" s="20" t="str">
        <f>中間シート!AK201</f>
        <v>事業場99</v>
      </c>
      <c r="C42" s="20" t="e">
        <f>中間シート!AJ201</f>
        <v>#N/A</v>
      </c>
      <c r="D42" s="20" t="str">
        <f>VLOOKUP($A42,中間シート!$D$187:$K$276,4)</f>
        <v/>
      </c>
      <c r="E42" s="20" t="str">
        <f>VLOOKUP($A42,中間シート!$D$187:$K$276,5)</f>
        <v/>
      </c>
      <c r="F42" s="20" t="str">
        <f>VLOOKUP($A42,中間シート!$D$187:$K$276,6)</f>
        <v/>
      </c>
      <c r="G42" s="20" t="str">
        <f>VLOOKUP($A42,中間シート!$D$187:$K$276,7)</f>
        <v/>
      </c>
      <c r="H42" s="20" t="str">
        <f>VLOOKUP($A42,中間シート!$D$187:$K$276,8)</f>
        <v/>
      </c>
      <c r="J42" s="248" t="str">
        <f t="shared" si="0"/>
        <v/>
      </c>
      <c r="K42" s="248"/>
      <c r="L42" s="248"/>
      <c r="M42" s="248"/>
      <c r="N42" s="260" t="str">
        <f>IF($A42&lt;&gt;9999,IF($C42=2,VLOOKUP($A42,中間シート!$D$187:$T$276,14,FALSE),VLOOKUP($A42,中間シート!$D$187:$T$276,9,FALSE)),"")</f>
        <v/>
      </c>
      <c r="O42" s="261"/>
      <c r="P42" s="261"/>
      <c r="Q42" s="261"/>
      <c r="R42" s="261"/>
      <c r="S42" s="261"/>
      <c r="T42" s="262"/>
      <c r="U42" s="258" t="s">
        <v>516</v>
      </c>
      <c r="V42" s="259"/>
      <c r="W42" s="260" t="str">
        <f>IF($A42&lt;&gt;9999,IF($C42=2,VLOOKUP($A42,中間シート!$D$187:$T$276,15,FALSE),VLOOKUP($A42,中間シート!$D$187:$T$276,10,FALSE)),"")</f>
        <v/>
      </c>
      <c r="X42" s="261"/>
      <c r="Y42" s="261"/>
      <c r="Z42" s="261"/>
      <c r="AA42" s="261"/>
      <c r="AB42" s="261"/>
      <c r="AC42" s="262"/>
      <c r="AD42" s="258" t="s">
        <v>516</v>
      </c>
      <c r="AE42" s="259"/>
      <c r="AF42" s="260" t="str">
        <f>IF($A42&lt;&gt;9999,IF($C42=2,VLOOKUP($A42,中間シート!$D$187:$T$276,16,FALSE),VLOOKUP($A42,中間シート!$D$187:$T$276,11,FALSE)),"")</f>
        <v/>
      </c>
      <c r="AG42" s="261"/>
      <c r="AH42" s="261"/>
      <c r="AI42" s="261"/>
      <c r="AJ42" s="261"/>
      <c r="AK42" s="262"/>
    </row>
    <row r="43" spans="1:37" ht="16.5" customHeight="1" x14ac:dyDescent="0.2">
      <c r="A43" s="20">
        <f>中間シート!AI202</f>
        <v>9999</v>
      </c>
      <c r="B43" s="20" t="str">
        <f>中間シート!AK202</f>
        <v>事業場99</v>
      </c>
      <c r="C43" s="20" t="e">
        <f>中間シート!AJ202</f>
        <v>#N/A</v>
      </c>
      <c r="D43" s="20" t="str">
        <f>VLOOKUP($A43,中間シート!$D$187:$K$276,4)</f>
        <v/>
      </c>
      <c r="E43" s="20" t="str">
        <f>VLOOKUP($A43,中間シート!$D$187:$K$276,5)</f>
        <v/>
      </c>
      <c r="F43" s="20" t="str">
        <f>VLOOKUP($A43,中間シート!$D$187:$K$276,6)</f>
        <v/>
      </c>
      <c r="G43" s="20" t="str">
        <f>VLOOKUP($A43,中間シート!$D$187:$K$276,7)</f>
        <v/>
      </c>
      <c r="H43" s="20" t="str">
        <f>VLOOKUP($A43,中間シート!$D$187:$K$276,8)</f>
        <v/>
      </c>
      <c r="J43" s="248" t="str">
        <f t="shared" si="0"/>
        <v/>
      </c>
      <c r="K43" s="248"/>
      <c r="L43" s="248"/>
      <c r="M43" s="248"/>
      <c r="N43" s="260" t="str">
        <f>IF($A43&lt;&gt;9999,IF($C43=2,VLOOKUP($A43,中間シート!$D$187:$T$276,14,FALSE),VLOOKUP($A43,中間シート!$D$187:$T$276,9,FALSE)),"")</f>
        <v/>
      </c>
      <c r="O43" s="261"/>
      <c r="P43" s="261"/>
      <c r="Q43" s="261"/>
      <c r="R43" s="261"/>
      <c r="S43" s="261"/>
      <c r="T43" s="262"/>
      <c r="U43" s="258" t="s">
        <v>516</v>
      </c>
      <c r="V43" s="259"/>
      <c r="W43" s="260" t="str">
        <f>IF($A43&lt;&gt;9999,IF($C43=2,VLOOKUP($A43,中間シート!$D$187:$T$276,15,FALSE),VLOOKUP($A43,中間シート!$D$187:$T$276,10,FALSE)),"")</f>
        <v/>
      </c>
      <c r="X43" s="261"/>
      <c r="Y43" s="261"/>
      <c r="Z43" s="261"/>
      <c r="AA43" s="261"/>
      <c r="AB43" s="261"/>
      <c r="AC43" s="262"/>
      <c r="AD43" s="258" t="s">
        <v>516</v>
      </c>
      <c r="AE43" s="259"/>
      <c r="AF43" s="260" t="str">
        <f>IF($A43&lt;&gt;9999,IF($C43=2,VLOOKUP($A43,中間シート!$D$187:$T$276,16,FALSE),VLOOKUP($A43,中間シート!$D$187:$T$276,11,FALSE)),"")</f>
        <v/>
      </c>
      <c r="AG43" s="261"/>
      <c r="AH43" s="261"/>
      <c r="AI43" s="261"/>
      <c r="AJ43" s="261"/>
      <c r="AK43" s="262"/>
    </row>
    <row r="44" spans="1:37" ht="16.5" customHeight="1" x14ac:dyDescent="0.2">
      <c r="A44" s="20">
        <f>中間シート!AI203</f>
        <v>9999</v>
      </c>
      <c r="B44" s="20" t="str">
        <f>中間シート!AK203</f>
        <v>事業場99</v>
      </c>
      <c r="C44" s="20" t="e">
        <f>中間シート!AJ203</f>
        <v>#N/A</v>
      </c>
      <c r="D44" s="20" t="str">
        <f>VLOOKUP($A44,中間シート!$D$187:$K$276,4)</f>
        <v/>
      </c>
      <c r="E44" s="20" t="str">
        <f>VLOOKUP($A44,中間シート!$D$187:$K$276,5)</f>
        <v/>
      </c>
      <c r="F44" s="20" t="str">
        <f>VLOOKUP($A44,中間シート!$D$187:$K$276,6)</f>
        <v/>
      </c>
      <c r="G44" s="20" t="str">
        <f>VLOOKUP($A44,中間シート!$D$187:$K$276,7)</f>
        <v/>
      </c>
      <c r="H44" s="20" t="str">
        <f>VLOOKUP($A44,中間シート!$D$187:$K$276,8)</f>
        <v/>
      </c>
      <c r="J44" s="248" t="str">
        <f t="shared" si="0"/>
        <v/>
      </c>
      <c r="K44" s="248"/>
      <c r="L44" s="248"/>
      <c r="M44" s="248"/>
      <c r="N44" s="260" t="str">
        <f>IF($A44&lt;&gt;9999,IF($C44=2,VLOOKUP($A44,中間シート!$D$187:$T$276,14,FALSE),VLOOKUP($A44,中間シート!$D$187:$T$276,9,FALSE)),"")</f>
        <v/>
      </c>
      <c r="O44" s="261"/>
      <c r="P44" s="261"/>
      <c r="Q44" s="261"/>
      <c r="R44" s="261"/>
      <c r="S44" s="261"/>
      <c r="T44" s="262"/>
      <c r="U44" s="258" t="s">
        <v>516</v>
      </c>
      <c r="V44" s="259"/>
      <c r="W44" s="260" t="str">
        <f>IF($A44&lt;&gt;9999,IF($C44=2,VLOOKUP($A44,中間シート!$D$187:$T$276,15,FALSE),VLOOKUP($A44,中間シート!$D$187:$T$276,10,FALSE)),"")</f>
        <v/>
      </c>
      <c r="X44" s="261"/>
      <c r="Y44" s="261"/>
      <c r="Z44" s="261"/>
      <c r="AA44" s="261"/>
      <c r="AB44" s="261"/>
      <c r="AC44" s="262"/>
      <c r="AD44" s="258" t="s">
        <v>516</v>
      </c>
      <c r="AE44" s="259"/>
      <c r="AF44" s="260" t="str">
        <f>IF($A44&lt;&gt;9999,IF($C44=2,VLOOKUP($A44,中間シート!$D$187:$T$276,16,FALSE),VLOOKUP($A44,中間シート!$D$187:$T$276,11,FALSE)),"")</f>
        <v/>
      </c>
      <c r="AG44" s="261"/>
      <c r="AH44" s="261"/>
      <c r="AI44" s="261"/>
      <c r="AJ44" s="261"/>
      <c r="AK44" s="262"/>
    </row>
    <row r="45" spans="1:37" ht="16.5" customHeight="1" x14ac:dyDescent="0.2">
      <c r="A45" s="20">
        <f>中間シート!AI204</f>
        <v>9999</v>
      </c>
      <c r="B45" s="20" t="str">
        <f>中間シート!AK204</f>
        <v>事業場99</v>
      </c>
      <c r="C45" s="20" t="e">
        <f>中間シート!AJ204</f>
        <v>#N/A</v>
      </c>
      <c r="D45" s="20" t="str">
        <f>VLOOKUP($A45,中間シート!$D$187:$K$276,4)</f>
        <v/>
      </c>
      <c r="E45" s="20" t="str">
        <f>VLOOKUP($A45,中間シート!$D$187:$K$276,5)</f>
        <v/>
      </c>
      <c r="F45" s="20" t="str">
        <f>VLOOKUP($A45,中間シート!$D$187:$K$276,6)</f>
        <v/>
      </c>
      <c r="G45" s="20" t="str">
        <f>VLOOKUP($A45,中間シート!$D$187:$K$276,7)</f>
        <v/>
      </c>
      <c r="H45" s="20" t="str">
        <f>VLOOKUP($A45,中間シート!$D$187:$K$276,8)</f>
        <v/>
      </c>
      <c r="J45" s="248" t="str">
        <f t="shared" si="0"/>
        <v/>
      </c>
      <c r="K45" s="248"/>
      <c r="L45" s="248"/>
      <c r="M45" s="248"/>
      <c r="N45" s="260" t="str">
        <f>IF($A45&lt;&gt;9999,IF($C45=2,VLOOKUP($A45,中間シート!$D$187:$T$276,14,FALSE),VLOOKUP($A45,中間シート!$D$187:$T$276,9,FALSE)),"")</f>
        <v/>
      </c>
      <c r="O45" s="261"/>
      <c r="P45" s="261"/>
      <c r="Q45" s="261"/>
      <c r="R45" s="261"/>
      <c r="S45" s="261"/>
      <c r="T45" s="262"/>
      <c r="U45" s="258" t="s">
        <v>516</v>
      </c>
      <c r="V45" s="259"/>
      <c r="W45" s="260" t="str">
        <f>IF($A45&lt;&gt;9999,IF($C45=2,VLOOKUP($A45,中間シート!$D$187:$T$276,15,FALSE),VLOOKUP($A45,中間シート!$D$187:$T$276,10,FALSE)),"")</f>
        <v/>
      </c>
      <c r="X45" s="261"/>
      <c r="Y45" s="261"/>
      <c r="Z45" s="261"/>
      <c r="AA45" s="261"/>
      <c r="AB45" s="261"/>
      <c r="AC45" s="262"/>
      <c r="AD45" s="258" t="s">
        <v>516</v>
      </c>
      <c r="AE45" s="259"/>
      <c r="AF45" s="260" t="str">
        <f>IF($A45&lt;&gt;9999,IF($C45=2,VLOOKUP($A45,中間シート!$D$187:$T$276,16,FALSE),VLOOKUP($A45,中間シート!$D$187:$T$276,11,FALSE)),"")</f>
        <v/>
      </c>
      <c r="AG45" s="261"/>
      <c r="AH45" s="261"/>
      <c r="AI45" s="261"/>
      <c r="AJ45" s="261"/>
      <c r="AK45" s="262"/>
    </row>
    <row r="46" spans="1:37" ht="16.5" customHeight="1" x14ac:dyDescent="0.2">
      <c r="A46" s="20">
        <f>中間シート!AI205</f>
        <v>9999</v>
      </c>
      <c r="B46" s="20" t="str">
        <f>中間シート!AK205</f>
        <v>事業場99</v>
      </c>
      <c r="C46" s="20" t="e">
        <f>中間シート!AJ205</f>
        <v>#N/A</v>
      </c>
      <c r="D46" s="20" t="str">
        <f>VLOOKUP($A46,中間シート!$D$187:$K$276,4)</f>
        <v/>
      </c>
      <c r="E46" s="20" t="str">
        <f>VLOOKUP($A46,中間シート!$D$187:$K$276,5)</f>
        <v/>
      </c>
      <c r="F46" s="20" t="str">
        <f>VLOOKUP($A46,中間シート!$D$187:$K$276,6)</f>
        <v/>
      </c>
      <c r="G46" s="20" t="str">
        <f>VLOOKUP($A46,中間シート!$D$187:$K$276,7)</f>
        <v/>
      </c>
      <c r="H46" s="20" t="str">
        <f>VLOOKUP($A46,中間シート!$D$187:$K$276,8)</f>
        <v/>
      </c>
      <c r="J46" s="248" t="str">
        <f t="shared" si="0"/>
        <v/>
      </c>
      <c r="K46" s="248"/>
      <c r="L46" s="248"/>
      <c r="M46" s="248"/>
      <c r="N46" s="260" t="str">
        <f>IF($A46&lt;&gt;9999,IF($C46=2,VLOOKUP($A46,中間シート!$D$187:$T$276,14,FALSE),VLOOKUP($A46,中間シート!$D$187:$T$276,9,FALSE)),"")</f>
        <v/>
      </c>
      <c r="O46" s="261"/>
      <c r="P46" s="261"/>
      <c r="Q46" s="261"/>
      <c r="R46" s="261"/>
      <c r="S46" s="261"/>
      <c r="T46" s="262"/>
      <c r="U46" s="258" t="s">
        <v>516</v>
      </c>
      <c r="V46" s="259"/>
      <c r="W46" s="260" t="str">
        <f>IF($A46&lt;&gt;9999,IF($C46=2,VLOOKUP($A46,中間シート!$D$187:$T$276,15,FALSE),VLOOKUP($A46,中間シート!$D$187:$T$276,10,FALSE)),"")</f>
        <v/>
      </c>
      <c r="X46" s="261"/>
      <c r="Y46" s="261"/>
      <c r="Z46" s="261"/>
      <c r="AA46" s="261"/>
      <c r="AB46" s="261"/>
      <c r="AC46" s="262"/>
      <c r="AD46" s="258" t="s">
        <v>516</v>
      </c>
      <c r="AE46" s="259"/>
      <c r="AF46" s="260" t="str">
        <f>IF($A46&lt;&gt;9999,IF($C46=2,VLOOKUP($A46,中間シート!$D$187:$T$276,16,FALSE),VLOOKUP($A46,中間シート!$D$187:$T$276,11,FALSE)),"")</f>
        <v/>
      </c>
      <c r="AG46" s="261"/>
      <c r="AH46" s="261"/>
      <c r="AI46" s="261"/>
      <c r="AJ46" s="261"/>
      <c r="AK46" s="262"/>
    </row>
    <row r="47" spans="1:37" ht="16.5" customHeight="1" x14ac:dyDescent="0.2">
      <c r="A47" s="20">
        <f>中間シート!AI206</f>
        <v>9999</v>
      </c>
      <c r="B47" s="20" t="str">
        <f>中間シート!AK206</f>
        <v>事業場99</v>
      </c>
      <c r="C47" s="20" t="e">
        <f>中間シート!AJ206</f>
        <v>#N/A</v>
      </c>
      <c r="D47" s="20" t="str">
        <f>VLOOKUP($A47,中間シート!$D$187:$K$276,4)</f>
        <v/>
      </c>
      <c r="E47" s="20" t="str">
        <f>VLOOKUP($A47,中間シート!$D$187:$K$276,5)</f>
        <v/>
      </c>
      <c r="F47" s="20" t="str">
        <f>VLOOKUP($A47,中間シート!$D$187:$K$276,6)</f>
        <v/>
      </c>
      <c r="G47" s="20" t="str">
        <f>VLOOKUP($A47,中間シート!$D$187:$K$276,7)</f>
        <v/>
      </c>
      <c r="H47" s="20" t="str">
        <f>VLOOKUP($A47,中間シート!$D$187:$K$276,8)</f>
        <v/>
      </c>
      <c r="J47" s="248" t="str">
        <f t="shared" si="0"/>
        <v/>
      </c>
      <c r="K47" s="248"/>
      <c r="L47" s="248"/>
      <c r="M47" s="248"/>
      <c r="N47" s="260" t="str">
        <f>IF($A47&lt;&gt;9999,IF($C47=2,VLOOKUP($A47,中間シート!$D$187:$T$276,14,FALSE),VLOOKUP($A47,中間シート!$D$187:$T$276,9,FALSE)),"")</f>
        <v/>
      </c>
      <c r="O47" s="261"/>
      <c r="P47" s="261"/>
      <c r="Q47" s="261"/>
      <c r="R47" s="261"/>
      <c r="S47" s="261"/>
      <c r="T47" s="262"/>
      <c r="U47" s="258" t="s">
        <v>516</v>
      </c>
      <c r="V47" s="259"/>
      <c r="W47" s="260" t="str">
        <f>IF($A47&lt;&gt;9999,IF($C47=2,VLOOKUP($A47,中間シート!$D$187:$T$276,15,FALSE),VLOOKUP($A47,中間シート!$D$187:$T$276,10,FALSE)),"")</f>
        <v/>
      </c>
      <c r="X47" s="261"/>
      <c r="Y47" s="261"/>
      <c r="Z47" s="261"/>
      <c r="AA47" s="261"/>
      <c r="AB47" s="261"/>
      <c r="AC47" s="262"/>
      <c r="AD47" s="258" t="s">
        <v>516</v>
      </c>
      <c r="AE47" s="259"/>
      <c r="AF47" s="260" t="str">
        <f>IF($A47&lt;&gt;9999,IF($C47=2,VLOOKUP($A47,中間シート!$D$187:$T$276,16,FALSE),VLOOKUP($A47,中間シート!$D$187:$T$276,11,FALSE)),"")</f>
        <v/>
      </c>
      <c r="AG47" s="261"/>
      <c r="AH47" s="261"/>
      <c r="AI47" s="261"/>
      <c r="AJ47" s="261"/>
      <c r="AK47" s="262"/>
    </row>
    <row r="48" spans="1:37" ht="16.5" customHeight="1" x14ac:dyDescent="0.2">
      <c r="A48" s="20">
        <f>中間シート!AI207</f>
        <v>9999</v>
      </c>
      <c r="B48" s="20" t="str">
        <f>中間シート!AK207</f>
        <v>事業場99</v>
      </c>
      <c r="C48" s="20" t="e">
        <f>中間シート!AJ207</f>
        <v>#N/A</v>
      </c>
      <c r="D48" s="20" t="str">
        <f>VLOOKUP($A48,中間シート!$D$187:$K$276,4)</f>
        <v/>
      </c>
      <c r="E48" s="20" t="str">
        <f>VLOOKUP($A48,中間シート!$D$187:$K$276,5)</f>
        <v/>
      </c>
      <c r="F48" s="20" t="str">
        <f>VLOOKUP($A48,中間シート!$D$187:$K$276,6)</f>
        <v/>
      </c>
      <c r="G48" s="20" t="str">
        <f>VLOOKUP($A48,中間シート!$D$187:$K$276,7)</f>
        <v/>
      </c>
      <c r="H48" s="20" t="str">
        <f>VLOOKUP($A48,中間シート!$D$187:$K$276,8)</f>
        <v/>
      </c>
      <c r="J48" s="248" t="str">
        <f t="shared" si="0"/>
        <v/>
      </c>
      <c r="K48" s="248"/>
      <c r="L48" s="248"/>
      <c r="M48" s="248"/>
      <c r="N48" s="260" t="str">
        <f>IF($A48&lt;&gt;9999,IF($C48=2,VLOOKUP($A48,中間シート!$D$187:$T$276,14,FALSE),VLOOKUP($A48,中間シート!$D$187:$T$276,9,FALSE)),"")</f>
        <v/>
      </c>
      <c r="O48" s="261"/>
      <c r="P48" s="261"/>
      <c r="Q48" s="261"/>
      <c r="R48" s="261"/>
      <c r="S48" s="261"/>
      <c r="T48" s="262"/>
      <c r="U48" s="258" t="s">
        <v>516</v>
      </c>
      <c r="V48" s="259"/>
      <c r="W48" s="260" t="str">
        <f>IF($A48&lt;&gt;9999,IF($C48=2,VLOOKUP($A48,中間シート!$D$187:$T$276,15,FALSE),VLOOKUP($A48,中間シート!$D$187:$T$276,10,FALSE)),"")</f>
        <v/>
      </c>
      <c r="X48" s="261"/>
      <c r="Y48" s="261"/>
      <c r="Z48" s="261"/>
      <c r="AA48" s="261"/>
      <c r="AB48" s="261"/>
      <c r="AC48" s="262"/>
      <c r="AD48" s="258" t="s">
        <v>516</v>
      </c>
      <c r="AE48" s="259"/>
      <c r="AF48" s="260" t="str">
        <f>IF($A48&lt;&gt;9999,IF($C48=2,VLOOKUP($A48,中間シート!$D$187:$T$276,16,FALSE),VLOOKUP($A48,中間シート!$D$187:$T$276,11,FALSE)),"")</f>
        <v/>
      </c>
      <c r="AG48" s="261"/>
      <c r="AH48" s="261"/>
      <c r="AI48" s="261"/>
      <c r="AJ48" s="261"/>
      <c r="AK48" s="262"/>
    </row>
    <row r="49" spans="1:48" ht="16.5" customHeight="1" x14ac:dyDescent="0.2">
      <c r="A49" s="20">
        <f>中間シート!AI208</f>
        <v>9999</v>
      </c>
      <c r="B49" s="20" t="str">
        <f>中間シート!AK208</f>
        <v>事業場99</v>
      </c>
      <c r="C49" s="20" t="e">
        <f>中間シート!AJ208</f>
        <v>#N/A</v>
      </c>
      <c r="D49" s="20" t="str">
        <f>VLOOKUP($A49,中間シート!$D$187:$K$276,4)</f>
        <v/>
      </c>
      <c r="E49" s="20" t="str">
        <f>VLOOKUP($A49,中間シート!$D$187:$K$276,5)</f>
        <v/>
      </c>
      <c r="F49" s="20" t="str">
        <f>VLOOKUP($A49,中間シート!$D$187:$K$276,6)</f>
        <v/>
      </c>
      <c r="G49" s="20" t="str">
        <f>VLOOKUP($A49,中間シート!$D$187:$K$276,7)</f>
        <v/>
      </c>
      <c r="H49" s="20" t="str">
        <f>VLOOKUP($A49,中間シート!$D$187:$K$276,8)</f>
        <v/>
      </c>
      <c r="J49" s="248" t="str">
        <f t="shared" si="0"/>
        <v/>
      </c>
      <c r="K49" s="248"/>
      <c r="L49" s="248"/>
      <c r="M49" s="248"/>
      <c r="N49" s="260" t="str">
        <f>IF($A49&lt;&gt;9999,IF($C49=2,VLOOKUP($A49,中間シート!$D$187:$T$276,14,FALSE),VLOOKUP($A49,中間シート!$D$187:$T$276,9,FALSE)),"")</f>
        <v/>
      </c>
      <c r="O49" s="261"/>
      <c r="P49" s="261"/>
      <c r="Q49" s="261"/>
      <c r="R49" s="261"/>
      <c r="S49" s="261"/>
      <c r="T49" s="262"/>
      <c r="U49" s="258" t="s">
        <v>516</v>
      </c>
      <c r="V49" s="259"/>
      <c r="W49" s="260" t="str">
        <f>IF($A49&lt;&gt;9999,IF($C49=2,VLOOKUP($A49,中間シート!$D$187:$T$276,15,FALSE),VLOOKUP($A49,中間シート!$D$187:$T$276,10,FALSE)),"")</f>
        <v/>
      </c>
      <c r="X49" s="261"/>
      <c r="Y49" s="261"/>
      <c r="Z49" s="261"/>
      <c r="AA49" s="261"/>
      <c r="AB49" s="261"/>
      <c r="AC49" s="262"/>
      <c r="AD49" s="258" t="s">
        <v>516</v>
      </c>
      <c r="AE49" s="259"/>
      <c r="AF49" s="260" t="str">
        <f>IF($A49&lt;&gt;9999,IF($C49=2,VLOOKUP($A49,中間シート!$D$187:$T$276,16,FALSE),VLOOKUP($A49,中間シート!$D$187:$T$276,11,FALSE)),"")</f>
        <v/>
      </c>
      <c r="AG49" s="261"/>
      <c r="AH49" s="261"/>
      <c r="AI49" s="261"/>
      <c r="AJ49" s="261"/>
      <c r="AK49" s="262"/>
    </row>
    <row r="50" spans="1:48" ht="16.5" customHeight="1" x14ac:dyDescent="0.2">
      <c r="A50" s="20">
        <f>中間シート!AI209</f>
        <v>9999</v>
      </c>
      <c r="B50" s="20" t="str">
        <f>中間シート!AK209</f>
        <v>事業場99</v>
      </c>
      <c r="C50" s="20" t="e">
        <f>中間シート!AJ209</f>
        <v>#N/A</v>
      </c>
      <c r="D50" s="20" t="str">
        <f>VLOOKUP($A50,中間シート!$D$187:$K$276,4)</f>
        <v/>
      </c>
      <c r="E50" s="20" t="str">
        <f>VLOOKUP($A50,中間シート!$D$187:$K$276,5)</f>
        <v/>
      </c>
      <c r="F50" s="20" t="str">
        <f>VLOOKUP($A50,中間シート!$D$187:$K$276,6)</f>
        <v/>
      </c>
      <c r="G50" s="20" t="str">
        <f>VLOOKUP($A50,中間シート!$D$187:$K$276,7)</f>
        <v/>
      </c>
      <c r="H50" s="20" t="str">
        <f>VLOOKUP($A50,中間シート!$D$187:$K$276,8)</f>
        <v/>
      </c>
      <c r="J50" s="248" t="str">
        <f t="shared" si="0"/>
        <v/>
      </c>
      <c r="K50" s="248"/>
      <c r="L50" s="248"/>
      <c r="M50" s="248"/>
      <c r="N50" s="260" t="str">
        <f>IF($A50&lt;&gt;9999,IF($C50=2,VLOOKUP($A50,中間シート!$D$187:$T$276,14,FALSE),VLOOKUP($A50,中間シート!$D$187:$T$276,9,FALSE)),"")</f>
        <v/>
      </c>
      <c r="O50" s="261"/>
      <c r="P50" s="261"/>
      <c r="Q50" s="261"/>
      <c r="R50" s="261"/>
      <c r="S50" s="261"/>
      <c r="T50" s="262"/>
      <c r="U50" s="258" t="s">
        <v>516</v>
      </c>
      <c r="V50" s="259"/>
      <c r="W50" s="260" t="str">
        <f>IF($A50&lt;&gt;9999,IF($C50=2,VLOOKUP($A50,中間シート!$D$187:$T$276,15,FALSE),VLOOKUP($A50,中間シート!$D$187:$T$276,10,FALSE)),"")</f>
        <v/>
      </c>
      <c r="X50" s="261"/>
      <c r="Y50" s="261"/>
      <c r="Z50" s="261"/>
      <c r="AA50" s="261"/>
      <c r="AB50" s="261"/>
      <c r="AC50" s="262"/>
      <c r="AD50" s="258" t="s">
        <v>516</v>
      </c>
      <c r="AE50" s="259"/>
      <c r="AF50" s="260" t="str">
        <f>IF($A50&lt;&gt;9999,IF($C50=2,VLOOKUP($A50,中間シート!$D$187:$T$276,16,FALSE),VLOOKUP($A50,中間シート!$D$187:$T$276,11,FALSE)),"")</f>
        <v/>
      </c>
      <c r="AG50" s="261"/>
      <c r="AH50" s="261"/>
      <c r="AI50" s="261"/>
      <c r="AJ50" s="261"/>
      <c r="AK50" s="262"/>
    </row>
    <row r="51" spans="1:48" ht="16.5" customHeight="1" x14ac:dyDescent="0.2">
      <c r="A51" s="20">
        <f>中間シート!AI210</f>
        <v>9999</v>
      </c>
      <c r="B51" s="20" t="str">
        <f>中間シート!AK210</f>
        <v>事業場99</v>
      </c>
      <c r="C51" s="20" t="e">
        <f>中間シート!AJ210</f>
        <v>#N/A</v>
      </c>
      <c r="D51" s="20" t="str">
        <f>VLOOKUP($A51,中間シート!$D$187:$K$276,4)</f>
        <v/>
      </c>
      <c r="E51" s="20" t="str">
        <f>VLOOKUP($A51,中間シート!$D$187:$K$276,5)</f>
        <v/>
      </c>
      <c r="F51" s="20" t="str">
        <f>VLOOKUP($A51,中間シート!$D$187:$K$276,6)</f>
        <v/>
      </c>
      <c r="G51" s="20" t="str">
        <f>VLOOKUP($A51,中間シート!$D$187:$K$276,7)</f>
        <v/>
      </c>
      <c r="H51" s="20" t="str">
        <f>VLOOKUP($A51,中間シート!$D$187:$K$276,8)</f>
        <v/>
      </c>
      <c r="J51" s="248" t="str">
        <f t="shared" si="0"/>
        <v/>
      </c>
      <c r="K51" s="248"/>
      <c r="L51" s="248"/>
      <c r="M51" s="248"/>
      <c r="N51" s="260" t="str">
        <f>IF($A51&lt;&gt;9999,IF($C51=2,VLOOKUP($A51,中間シート!$D$187:$T$276,14,FALSE),VLOOKUP($A51,中間シート!$D$187:$T$276,9,FALSE)),"")</f>
        <v/>
      </c>
      <c r="O51" s="261"/>
      <c r="P51" s="261"/>
      <c r="Q51" s="261"/>
      <c r="R51" s="261"/>
      <c r="S51" s="261"/>
      <c r="T51" s="262"/>
      <c r="U51" s="258" t="s">
        <v>516</v>
      </c>
      <c r="V51" s="259"/>
      <c r="W51" s="260" t="str">
        <f>IF($A51&lt;&gt;9999,IF($C51=2,VLOOKUP($A51,中間シート!$D$187:$T$276,15,FALSE),VLOOKUP($A51,中間シート!$D$187:$T$276,10,FALSE)),"")</f>
        <v/>
      </c>
      <c r="X51" s="261"/>
      <c r="Y51" s="261"/>
      <c r="Z51" s="261"/>
      <c r="AA51" s="261"/>
      <c r="AB51" s="261"/>
      <c r="AC51" s="262"/>
      <c r="AD51" s="258" t="s">
        <v>516</v>
      </c>
      <c r="AE51" s="259"/>
      <c r="AF51" s="260" t="str">
        <f>IF($A51&lt;&gt;9999,IF($C51=2,VLOOKUP($A51,中間シート!$D$187:$T$276,16,FALSE),VLOOKUP($A51,中間シート!$D$187:$T$276,11,FALSE)),"")</f>
        <v/>
      </c>
      <c r="AG51" s="261"/>
      <c r="AH51" s="261"/>
      <c r="AI51" s="261"/>
      <c r="AJ51" s="261"/>
      <c r="AK51" s="262"/>
    </row>
    <row r="52" spans="1:48" ht="16.5" customHeight="1" x14ac:dyDescent="0.2">
      <c r="A52" s="20">
        <f>中間シート!AI211</f>
        <v>9999</v>
      </c>
      <c r="B52" s="20" t="str">
        <f>中間シート!AK211</f>
        <v>事業場99</v>
      </c>
      <c r="C52" s="20" t="e">
        <f>中間シート!AJ211</f>
        <v>#N/A</v>
      </c>
      <c r="D52" s="20" t="str">
        <f>VLOOKUP($A52,中間シート!$D$187:$K$276,4)</f>
        <v/>
      </c>
      <c r="E52" s="20" t="str">
        <f>VLOOKUP($A52,中間シート!$D$187:$K$276,5)</f>
        <v/>
      </c>
      <c r="F52" s="20" t="str">
        <f>VLOOKUP($A52,中間シート!$D$187:$K$276,6)</f>
        <v/>
      </c>
      <c r="G52" s="20" t="str">
        <f>VLOOKUP($A52,中間シート!$D$187:$K$276,7)</f>
        <v/>
      </c>
      <c r="H52" s="20" t="str">
        <f>VLOOKUP($A52,中間シート!$D$187:$K$276,8)</f>
        <v/>
      </c>
      <c r="J52" s="248" t="str">
        <f t="shared" si="0"/>
        <v/>
      </c>
      <c r="K52" s="248"/>
      <c r="L52" s="248"/>
      <c r="M52" s="248"/>
      <c r="N52" s="260" t="str">
        <f>IF($A52&lt;&gt;9999,IF($C52=2,VLOOKUP($A52,中間シート!$D$187:$T$276,14,FALSE),VLOOKUP($A52,中間シート!$D$187:$T$276,9,FALSE)),"")</f>
        <v/>
      </c>
      <c r="O52" s="261"/>
      <c r="P52" s="261"/>
      <c r="Q52" s="261"/>
      <c r="R52" s="261"/>
      <c r="S52" s="261"/>
      <c r="T52" s="262"/>
      <c r="U52" s="258" t="s">
        <v>516</v>
      </c>
      <c r="V52" s="259"/>
      <c r="W52" s="260" t="str">
        <f>IF($A52&lt;&gt;9999,IF($C52=2,VLOOKUP($A52,中間シート!$D$187:$T$276,15,FALSE),VLOOKUP($A52,中間シート!$D$187:$T$276,10,FALSE)),"")</f>
        <v/>
      </c>
      <c r="X52" s="261"/>
      <c r="Y52" s="261"/>
      <c r="Z52" s="261"/>
      <c r="AA52" s="261"/>
      <c r="AB52" s="261"/>
      <c r="AC52" s="262"/>
      <c r="AD52" s="258" t="s">
        <v>516</v>
      </c>
      <c r="AE52" s="259"/>
      <c r="AF52" s="260" t="str">
        <f>IF($A52&lt;&gt;9999,IF($C52=2,VLOOKUP($A52,中間シート!$D$187:$T$276,16,FALSE),VLOOKUP($A52,中間シート!$D$187:$T$276,11,FALSE)),"")</f>
        <v/>
      </c>
      <c r="AG52" s="261"/>
      <c r="AH52" s="261"/>
      <c r="AI52" s="261"/>
      <c r="AJ52" s="261"/>
      <c r="AK52" s="262"/>
    </row>
    <row r="53" spans="1:48" ht="16.5" customHeight="1" x14ac:dyDescent="0.2">
      <c r="A53" s="20">
        <f>中間シート!AI212</f>
        <v>9999</v>
      </c>
      <c r="B53" s="20" t="str">
        <f>中間シート!AK212</f>
        <v>事業場99</v>
      </c>
      <c r="C53" s="20" t="e">
        <f>中間シート!AJ212</f>
        <v>#N/A</v>
      </c>
      <c r="D53" s="20" t="str">
        <f>VLOOKUP($A53,中間シート!$D$187:$K$276,4)</f>
        <v/>
      </c>
      <c r="E53" s="20" t="str">
        <f>VLOOKUP($A53,中間シート!$D$187:$K$276,5)</f>
        <v/>
      </c>
      <c r="F53" s="20" t="str">
        <f>VLOOKUP($A53,中間シート!$D$187:$K$276,6)</f>
        <v/>
      </c>
      <c r="G53" s="20" t="str">
        <f>VLOOKUP($A53,中間シート!$D$187:$K$276,7)</f>
        <v/>
      </c>
      <c r="H53" s="20" t="str">
        <f>VLOOKUP($A53,中間シート!$D$187:$K$276,8)</f>
        <v/>
      </c>
      <c r="J53" s="248" t="str">
        <f t="shared" si="0"/>
        <v/>
      </c>
      <c r="K53" s="248"/>
      <c r="L53" s="248"/>
      <c r="M53" s="248"/>
      <c r="N53" s="260" t="str">
        <f>IF($A53&lt;&gt;9999,IF($C53=2,VLOOKUP($A53,中間シート!$D$187:$T$276,14,FALSE),VLOOKUP($A53,中間シート!$D$187:$T$276,9,FALSE)),"")</f>
        <v/>
      </c>
      <c r="O53" s="261"/>
      <c r="P53" s="261"/>
      <c r="Q53" s="261"/>
      <c r="R53" s="261"/>
      <c r="S53" s="261"/>
      <c r="T53" s="262"/>
      <c r="U53" s="258" t="s">
        <v>516</v>
      </c>
      <c r="V53" s="259"/>
      <c r="W53" s="260" t="str">
        <f>IF($A53&lt;&gt;9999,IF($C53=2,VLOOKUP($A53,中間シート!$D$187:$T$276,15,FALSE),VLOOKUP($A53,中間シート!$D$187:$T$276,10,FALSE)),"")</f>
        <v/>
      </c>
      <c r="X53" s="261"/>
      <c r="Y53" s="261"/>
      <c r="Z53" s="261"/>
      <c r="AA53" s="261"/>
      <c r="AB53" s="261"/>
      <c r="AC53" s="262"/>
      <c r="AD53" s="258" t="s">
        <v>516</v>
      </c>
      <c r="AE53" s="259"/>
      <c r="AF53" s="260" t="str">
        <f>IF($A53&lt;&gt;9999,IF($C53=2,VLOOKUP($A53,中間シート!$D$187:$T$276,16,FALSE),VLOOKUP($A53,中間シート!$D$187:$T$276,11,FALSE)),"")</f>
        <v/>
      </c>
      <c r="AG53" s="261"/>
      <c r="AH53" s="261"/>
      <c r="AI53" s="261"/>
      <c r="AJ53" s="261"/>
      <c r="AK53" s="262"/>
    </row>
    <row r="54" spans="1:48" ht="16.5" customHeight="1" x14ac:dyDescent="0.2">
      <c r="A54" s="20">
        <f>中間シート!AI213</f>
        <v>9999</v>
      </c>
      <c r="B54" s="20" t="str">
        <f>中間シート!AK213</f>
        <v>事業場99</v>
      </c>
      <c r="C54" s="20" t="e">
        <f>中間シート!AJ213</f>
        <v>#N/A</v>
      </c>
      <c r="D54" s="20" t="str">
        <f>VLOOKUP($A54,中間シート!$D$187:$K$276,4)</f>
        <v/>
      </c>
      <c r="E54" s="20" t="str">
        <f>VLOOKUP($A54,中間シート!$D$187:$K$276,5)</f>
        <v/>
      </c>
      <c r="F54" s="20" t="str">
        <f>VLOOKUP($A54,中間シート!$D$187:$K$276,6)</f>
        <v/>
      </c>
      <c r="G54" s="20" t="str">
        <f>VLOOKUP($A54,中間シート!$D$187:$K$276,7)</f>
        <v/>
      </c>
      <c r="H54" s="20" t="str">
        <f>VLOOKUP($A54,中間シート!$D$187:$K$276,8)</f>
        <v/>
      </c>
      <c r="J54" s="248" t="str">
        <f t="shared" si="0"/>
        <v/>
      </c>
      <c r="K54" s="248"/>
      <c r="L54" s="248"/>
      <c r="M54" s="248"/>
      <c r="N54" s="260" t="str">
        <f>IF($A54&lt;&gt;9999,IF($C54=2,VLOOKUP($A54,中間シート!$D$187:$T$276,14,FALSE),VLOOKUP($A54,中間シート!$D$187:$T$276,9,FALSE)),"")</f>
        <v/>
      </c>
      <c r="O54" s="261"/>
      <c r="P54" s="261"/>
      <c r="Q54" s="261"/>
      <c r="R54" s="261"/>
      <c r="S54" s="261"/>
      <c r="T54" s="262"/>
      <c r="U54" s="258" t="s">
        <v>516</v>
      </c>
      <c r="V54" s="259"/>
      <c r="W54" s="260" t="str">
        <f>IF($A54&lt;&gt;9999,IF($C54=2,VLOOKUP($A54,中間シート!$D$187:$T$276,15,FALSE),VLOOKUP($A54,中間シート!$D$187:$T$276,10,FALSE)),"")</f>
        <v/>
      </c>
      <c r="X54" s="261"/>
      <c r="Y54" s="261"/>
      <c r="Z54" s="261"/>
      <c r="AA54" s="261"/>
      <c r="AB54" s="261"/>
      <c r="AC54" s="262"/>
      <c r="AD54" s="258" t="s">
        <v>516</v>
      </c>
      <c r="AE54" s="259"/>
      <c r="AF54" s="260" t="str">
        <f>IF($A54&lt;&gt;9999,IF($C54=2,VLOOKUP($A54,中間シート!$D$187:$T$276,16,FALSE),VLOOKUP($A54,中間シート!$D$187:$T$276,11,FALSE)),"")</f>
        <v/>
      </c>
      <c r="AG54" s="261"/>
      <c r="AH54" s="261"/>
      <c r="AI54" s="261"/>
      <c r="AJ54" s="261"/>
      <c r="AK54" s="262"/>
    </row>
    <row r="55" spans="1:48" ht="16.5" customHeight="1" x14ac:dyDescent="0.2">
      <c r="A55" s="20">
        <f>中間シート!AI214</f>
        <v>9999</v>
      </c>
      <c r="B55" s="20" t="str">
        <f>中間シート!AK214</f>
        <v>事業場99</v>
      </c>
      <c r="C55" s="20" t="e">
        <f>中間シート!AJ214</f>
        <v>#N/A</v>
      </c>
      <c r="D55" s="20" t="str">
        <f>VLOOKUP($A55,中間シート!$D$187:$K$276,4)</f>
        <v/>
      </c>
      <c r="E55" s="20" t="str">
        <f>VLOOKUP($A55,中間シート!$D$187:$K$276,5)</f>
        <v/>
      </c>
      <c r="F55" s="20" t="str">
        <f>VLOOKUP($A55,中間シート!$D$187:$K$276,6)</f>
        <v/>
      </c>
      <c r="G55" s="20" t="str">
        <f>VLOOKUP($A55,中間シート!$D$187:$K$276,7)</f>
        <v/>
      </c>
      <c r="H55" s="20" t="str">
        <f>VLOOKUP($A55,中間シート!$D$187:$K$276,8)</f>
        <v/>
      </c>
      <c r="J55" s="248" t="str">
        <f t="shared" si="0"/>
        <v/>
      </c>
      <c r="K55" s="248"/>
      <c r="L55" s="248"/>
      <c r="M55" s="248"/>
      <c r="N55" s="260" t="str">
        <f>IF($A55&lt;&gt;9999,IF($C55=2,VLOOKUP($A55,中間シート!$D$187:$T$276,14,FALSE),VLOOKUP($A55,中間シート!$D$187:$T$276,9,FALSE)),"")</f>
        <v/>
      </c>
      <c r="O55" s="261"/>
      <c r="P55" s="261"/>
      <c r="Q55" s="261"/>
      <c r="R55" s="261"/>
      <c r="S55" s="261"/>
      <c r="T55" s="262"/>
      <c r="U55" s="258" t="s">
        <v>516</v>
      </c>
      <c r="V55" s="259"/>
      <c r="W55" s="260" t="str">
        <f>IF($A55&lt;&gt;9999,IF($C55=2,VLOOKUP($A55,中間シート!$D$187:$T$276,15,FALSE),VLOOKUP($A55,中間シート!$D$187:$T$276,10,FALSE)),"")</f>
        <v/>
      </c>
      <c r="X55" s="261"/>
      <c r="Y55" s="261"/>
      <c r="Z55" s="261"/>
      <c r="AA55" s="261"/>
      <c r="AB55" s="261"/>
      <c r="AC55" s="262"/>
      <c r="AD55" s="258" t="s">
        <v>516</v>
      </c>
      <c r="AE55" s="259"/>
      <c r="AF55" s="260" t="str">
        <f>IF($A55&lt;&gt;9999,IF($C55=2,VLOOKUP($A55,中間シート!$D$187:$T$276,16,FALSE),VLOOKUP($A55,中間シート!$D$187:$T$276,11,FALSE)),"")</f>
        <v/>
      </c>
      <c r="AG55" s="261"/>
      <c r="AH55" s="261"/>
      <c r="AI55" s="261"/>
      <c r="AJ55" s="261"/>
      <c r="AK55" s="262"/>
    </row>
    <row r="56" spans="1:48" ht="16.5" customHeight="1" x14ac:dyDescent="0.2">
      <c r="A56" s="20">
        <f>中間シート!AI215</f>
        <v>9999</v>
      </c>
      <c r="B56" s="20" t="str">
        <f>中間シート!AK215</f>
        <v>事業場99</v>
      </c>
      <c r="C56" s="20" t="e">
        <f>中間シート!AJ215</f>
        <v>#N/A</v>
      </c>
      <c r="D56" s="20" t="str">
        <f>VLOOKUP($A56,中間シート!$D$187:$K$276,4)</f>
        <v/>
      </c>
      <c r="E56" s="20" t="str">
        <f>VLOOKUP($A56,中間シート!$D$187:$K$276,5)</f>
        <v/>
      </c>
      <c r="F56" s="20" t="str">
        <f>VLOOKUP($A56,中間シート!$D$187:$K$276,6)</f>
        <v/>
      </c>
      <c r="G56" s="20" t="str">
        <f>VLOOKUP($A56,中間シート!$D$187:$K$276,7)</f>
        <v/>
      </c>
      <c r="H56" s="20" t="str">
        <f>VLOOKUP($A56,中間シート!$D$187:$K$276,8)</f>
        <v/>
      </c>
      <c r="J56" s="248" t="str">
        <f t="shared" si="0"/>
        <v/>
      </c>
      <c r="K56" s="248"/>
      <c r="L56" s="248"/>
      <c r="M56" s="248"/>
      <c r="N56" s="260" t="str">
        <f>IF($A56&lt;&gt;9999,IF($C56=2,VLOOKUP($A56,中間シート!$D$187:$T$276,14,FALSE),VLOOKUP($A56,中間シート!$D$187:$T$276,9,FALSE)),"")</f>
        <v/>
      </c>
      <c r="O56" s="261"/>
      <c r="P56" s="261"/>
      <c r="Q56" s="261"/>
      <c r="R56" s="261"/>
      <c r="S56" s="261"/>
      <c r="T56" s="262"/>
      <c r="U56" s="258" t="s">
        <v>516</v>
      </c>
      <c r="V56" s="259"/>
      <c r="W56" s="260" t="str">
        <f>IF($A56&lt;&gt;9999,IF($C56=2,VLOOKUP($A56,中間シート!$D$187:$T$276,15,FALSE),VLOOKUP($A56,中間シート!$D$187:$T$276,10,FALSE)),"")</f>
        <v/>
      </c>
      <c r="X56" s="261"/>
      <c r="Y56" s="261"/>
      <c r="Z56" s="261"/>
      <c r="AA56" s="261"/>
      <c r="AB56" s="261"/>
      <c r="AC56" s="262"/>
      <c r="AD56" s="258" t="s">
        <v>516</v>
      </c>
      <c r="AE56" s="259"/>
      <c r="AF56" s="260" t="str">
        <f>IF($A56&lt;&gt;9999,IF($C56=2,VLOOKUP($A56,中間シート!$D$187:$T$276,16,FALSE),VLOOKUP($A56,中間シート!$D$187:$T$276,11,FALSE)),"")</f>
        <v/>
      </c>
      <c r="AG56" s="261"/>
      <c r="AH56" s="261"/>
      <c r="AI56" s="261"/>
      <c r="AJ56" s="261"/>
      <c r="AK56" s="262"/>
    </row>
    <row r="57" spans="1:48" ht="16.5" customHeight="1" x14ac:dyDescent="0.2">
      <c r="A57" s="20">
        <f>中間シート!AI216</f>
        <v>9999</v>
      </c>
      <c r="B57" s="20" t="str">
        <f>中間シート!AK216</f>
        <v>事業場99</v>
      </c>
      <c r="C57" s="20" t="e">
        <f>中間シート!AJ216</f>
        <v>#N/A</v>
      </c>
      <c r="D57" s="20" t="str">
        <f>VLOOKUP($A57,中間シート!$D$187:$K$276,4)</f>
        <v/>
      </c>
      <c r="E57" s="20" t="str">
        <f>VLOOKUP($A57,中間シート!$D$187:$K$276,5)</f>
        <v/>
      </c>
      <c r="F57" s="20" t="str">
        <f>VLOOKUP($A57,中間シート!$D$187:$K$276,6)</f>
        <v/>
      </c>
      <c r="G57" s="20" t="str">
        <f>VLOOKUP($A57,中間シート!$D$187:$K$276,7)</f>
        <v/>
      </c>
      <c r="H57" s="20" t="str">
        <f>VLOOKUP($A57,中間シート!$D$187:$K$276,8)</f>
        <v/>
      </c>
      <c r="J57" s="248" t="str">
        <f t="shared" si="0"/>
        <v/>
      </c>
      <c r="K57" s="248"/>
      <c r="L57" s="248"/>
      <c r="M57" s="248"/>
      <c r="N57" s="260" t="str">
        <f>IF($A57&lt;&gt;9999,IF($C57=2,VLOOKUP($A57,中間シート!$D$187:$T$276,14,FALSE),VLOOKUP($A57,中間シート!$D$187:$T$276,9,FALSE)),"")</f>
        <v/>
      </c>
      <c r="O57" s="261"/>
      <c r="P57" s="261"/>
      <c r="Q57" s="261"/>
      <c r="R57" s="261"/>
      <c r="S57" s="261"/>
      <c r="T57" s="262"/>
      <c r="U57" s="258" t="s">
        <v>516</v>
      </c>
      <c r="V57" s="259"/>
      <c r="W57" s="260" t="str">
        <f>IF($A57&lt;&gt;9999,IF($C57=2,VLOOKUP($A57,中間シート!$D$187:$T$276,15,FALSE),VLOOKUP($A57,中間シート!$D$187:$T$276,10,FALSE)),"")</f>
        <v/>
      </c>
      <c r="X57" s="261"/>
      <c r="Y57" s="261"/>
      <c r="Z57" s="261"/>
      <c r="AA57" s="261"/>
      <c r="AB57" s="261"/>
      <c r="AC57" s="262"/>
      <c r="AD57" s="258" t="s">
        <v>516</v>
      </c>
      <c r="AE57" s="259"/>
      <c r="AF57" s="260" t="str">
        <f>IF($A57&lt;&gt;9999,IF($C57=2,VLOOKUP($A57,中間シート!$D$187:$T$276,16,FALSE),VLOOKUP($A57,中間シート!$D$187:$T$276,11,FALSE)),"")</f>
        <v/>
      </c>
      <c r="AG57" s="261"/>
      <c r="AH57" s="261"/>
      <c r="AI57" s="261"/>
      <c r="AJ57" s="261"/>
      <c r="AK57" s="262"/>
    </row>
    <row r="58" spans="1:48" ht="16.5" customHeight="1" x14ac:dyDescent="0.2">
      <c r="K58" s="21"/>
      <c r="L58" s="21"/>
      <c r="M58" s="21"/>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row>
    <row r="59" spans="1:48" ht="12.45" customHeight="1" x14ac:dyDescent="0.2">
      <c r="K59" s="50" t="s">
        <v>100</v>
      </c>
      <c r="L59" s="50"/>
      <c r="M59" s="271" t="s">
        <v>309</v>
      </c>
      <c r="N59" s="271"/>
      <c r="O59" s="271"/>
      <c r="P59" s="271"/>
      <c r="Q59" s="271"/>
      <c r="R59" s="271"/>
      <c r="S59" s="271"/>
      <c r="T59" s="271"/>
      <c r="U59" s="271"/>
      <c r="V59" s="271"/>
      <c r="W59" s="271"/>
      <c r="X59" s="271"/>
      <c r="Y59" s="271"/>
      <c r="Z59" s="271"/>
      <c r="AA59" s="271"/>
      <c r="AB59" s="271"/>
      <c r="AC59" s="271"/>
      <c r="AD59" s="271"/>
      <c r="AE59" s="271"/>
      <c r="AF59" s="271"/>
      <c r="AG59" s="271"/>
      <c r="AH59" s="271"/>
      <c r="AI59" s="271"/>
      <c r="AJ59" s="271"/>
      <c r="AK59" s="271"/>
      <c r="AL59" s="271"/>
      <c r="AM59" s="271"/>
      <c r="AN59" s="271"/>
      <c r="AO59" s="271"/>
      <c r="AP59" s="271"/>
      <c r="AQ59" s="271"/>
      <c r="AR59" s="271"/>
      <c r="AS59" s="271"/>
      <c r="AT59" s="271"/>
      <c r="AU59" s="271"/>
      <c r="AV59" s="271"/>
    </row>
    <row r="60" spans="1:48" x14ac:dyDescent="0.2">
      <c r="K60" s="50"/>
      <c r="L60" s="50"/>
      <c r="M60" s="271"/>
      <c r="N60" s="271"/>
      <c r="O60" s="271"/>
      <c r="P60" s="271"/>
      <c r="Q60" s="271"/>
      <c r="R60" s="271"/>
      <c r="S60" s="271"/>
      <c r="T60" s="271"/>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71"/>
      <c r="AU60" s="271"/>
      <c r="AV60" s="271"/>
    </row>
    <row r="62" spans="1:48" x14ac:dyDescent="0.2">
      <c r="J62" s="23" t="s">
        <v>310</v>
      </c>
    </row>
    <row r="63" spans="1:48" ht="13.5" customHeight="1" x14ac:dyDescent="0.2">
      <c r="AU63" s="22" t="s">
        <v>102</v>
      </c>
    </row>
    <row r="64" spans="1:48" ht="30.75" customHeight="1" x14ac:dyDescent="0.2">
      <c r="J64" s="248" t="s">
        <v>103</v>
      </c>
      <c r="K64" s="248"/>
      <c r="L64" s="248"/>
      <c r="M64" s="248"/>
      <c r="N64" s="272" t="s">
        <v>32</v>
      </c>
      <c r="O64" s="273"/>
      <c r="P64" s="273"/>
      <c r="Q64" s="273"/>
      <c r="R64" s="273"/>
      <c r="S64" s="273"/>
      <c r="T64" s="273"/>
      <c r="U64" s="273"/>
      <c r="V64" s="273"/>
      <c r="W64" s="273"/>
      <c r="X64" s="273"/>
      <c r="Y64" s="273"/>
      <c r="Z64" s="273"/>
      <c r="AA64" s="273"/>
      <c r="AB64" s="273"/>
      <c r="AC64" s="273"/>
      <c r="AD64" s="273"/>
      <c r="AE64" s="274"/>
      <c r="AF64" s="267" t="s">
        <v>36</v>
      </c>
      <c r="AG64" s="268"/>
      <c r="AH64" s="268"/>
      <c r="AI64" s="268"/>
      <c r="AJ64" s="268"/>
      <c r="AK64" s="268"/>
      <c r="AL64" s="269"/>
      <c r="AM64" s="248" t="s">
        <v>37</v>
      </c>
      <c r="AN64" s="248"/>
      <c r="AO64" s="248"/>
      <c r="AP64" s="248"/>
      <c r="AQ64" s="248"/>
      <c r="AR64" s="248"/>
      <c r="AS64" s="248"/>
      <c r="AT64" s="248"/>
      <c r="AU64" s="248"/>
    </row>
    <row r="65" spans="10:49" ht="16.5" customHeight="1" x14ac:dyDescent="0.2">
      <c r="J65" s="248" t="s">
        <v>92</v>
      </c>
      <c r="K65" s="248"/>
      <c r="L65" s="248"/>
      <c r="M65" s="248"/>
      <c r="N65" s="263" t="str">
        <f>IF(中間シート!D373&lt;&gt;0,中間シート!D373,"")</f>
        <v/>
      </c>
      <c r="O65" s="264"/>
      <c r="P65" s="264"/>
      <c r="Q65" s="264"/>
      <c r="R65" s="264"/>
      <c r="S65" s="264"/>
      <c r="T65" s="264"/>
      <c r="U65" s="264"/>
      <c r="V65" s="264"/>
      <c r="W65" s="264"/>
      <c r="X65" s="264"/>
      <c r="Y65" s="264"/>
      <c r="Z65" s="264"/>
      <c r="AA65" s="264"/>
      <c r="AB65" s="264"/>
      <c r="AC65" s="264"/>
      <c r="AD65" s="264"/>
      <c r="AE65" s="265"/>
      <c r="AF65" s="267" t="s">
        <v>105</v>
      </c>
      <c r="AG65" s="268"/>
      <c r="AH65" s="268"/>
      <c r="AI65" s="268"/>
      <c r="AJ65" s="268"/>
      <c r="AK65" s="268"/>
      <c r="AL65" s="269"/>
      <c r="AM65" s="266" t="str">
        <f>IF(中間シート!H373&lt;&gt;0,中間シート!H373,"")</f>
        <v/>
      </c>
      <c r="AN65" s="266"/>
      <c r="AO65" s="266"/>
      <c r="AP65" s="266"/>
      <c r="AQ65" s="266"/>
      <c r="AR65" s="266"/>
      <c r="AS65" s="266"/>
      <c r="AT65" s="266"/>
      <c r="AU65" s="266"/>
    </row>
    <row r="66" spans="10:49" ht="16.5" customHeight="1" x14ac:dyDescent="0.2">
      <c r="J66" s="248" t="s">
        <v>94</v>
      </c>
      <c r="K66" s="248"/>
      <c r="L66" s="248"/>
      <c r="M66" s="248"/>
      <c r="N66" s="263" t="str">
        <f>IF(中間シート!D374&lt;&gt;0,中間シート!D374,"")</f>
        <v/>
      </c>
      <c r="O66" s="264"/>
      <c r="P66" s="264"/>
      <c r="Q66" s="264"/>
      <c r="R66" s="264"/>
      <c r="S66" s="264"/>
      <c r="T66" s="264"/>
      <c r="U66" s="264"/>
      <c r="V66" s="264"/>
      <c r="W66" s="264"/>
      <c r="X66" s="264"/>
      <c r="Y66" s="264"/>
      <c r="Z66" s="264"/>
      <c r="AA66" s="264"/>
      <c r="AB66" s="264"/>
      <c r="AC66" s="264"/>
      <c r="AD66" s="264"/>
      <c r="AE66" s="265"/>
      <c r="AF66" s="267" t="s">
        <v>105</v>
      </c>
      <c r="AG66" s="268"/>
      <c r="AH66" s="268"/>
      <c r="AI66" s="268"/>
      <c r="AJ66" s="268"/>
      <c r="AK66" s="268"/>
      <c r="AL66" s="269"/>
      <c r="AM66" s="266" t="str">
        <f>IF(中間シート!H374&lt;&gt;0,中間シート!H374,"")</f>
        <v/>
      </c>
      <c r="AN66" s="266"/>
      <c r="AO66" s="266"/>
      <c r="AP66" s="266"/>
      <c r="AQ66" s="266"/>
      <c r="AR66" s="266"/>
      <c r="AS66" s="266"/>
      <c r="AT66" s="266"/>
      <c r="AU66" s="266"/>
    </row>
    <row r="67" spans="10:49" ht="17.100000000000001" customHeight="1" x14ac:dyDescent="0.2">
      <c r="J67" s="248" t="s">
        <v>108</v>
      </c>
      <c r="K67" s="248"/>
      <c r="L67" s="248"/>
      <c r="M67" s="248"/>
      <c r="N67" s="263" t="str">
        <f>IF(中間シート!D375&lt;&gt;0,中間シート!D375,"")</f>
        <v/>
      </c>
      <c r="O67" s="264"/>
      <c r="P67" s="264"/>
      <c r="Q67" s="264"/>
      <c r="R67" s="264"/>
      <c r="S67" s="264"/>
      <c r="T67" s="264"/>
      <c r="U67" s="264"/>
      <c r="V67" s="264"/>
      <c r="W67" s="264"/>
      <c r="X67" s="264"/>
      <c r="Y67" s="264"/>
      <c r="Z67" s="264"/>
      <c r="AA67" s="264"/>
      <c r="AB67" s="264"/>
      <c r="AC67" s="264"/>
      <c r="AD67" s="264"/>
      <c r="AE67" s="265"/>
      <c r="AF67" s="267" t="str">
        <f>IF(W67&lt;&gt;"","１／３以内","")</f>
        <v/>
      </c>
      <c r="AG67" s="268"/>
      <c r="AH67" s="268"/>
      <c r="AI67" s="268"/>
      <c r="AJ67" s="268"/>
      <c r="AK67" s="268"/>
      <c r="AL67" s="269"/>
      <c r="AM67" s="266" t="str">
        <f>IF(中間シート!H375&lt;&gt;0,中間シート!H375,"")</f>
        <v/>
      </c>
      <c r="AN67" s="266"/>
      <c r="AO67" s="266"/>
      <c r="AP67" s="266"/>
      <c r="AQ67" s="266"/>
      <c r="AR67" s="266"/>
      <c r="AS67" s="266"/>
      <c r="AT67" s="266"/>
      <c r="AU67" s="266"/>
    </row>
    <row r="68" spans="10:49" ht="17.100000000000001" customHeight="1" x14ac:dyDescent="0.2">
      <c r="J68" s="248" t="s">
        <v>109</v>
      </c>
      <c r="K68" s="248"/>
      <c r="L68" s="248"/>
      <c r="M68" s="248"/>
      <c r="N68" s="263" t="str">
        <f>IF(中間シート!D376&lt;&gt;0,中間シート!D376,"")</f>
        <v/>
      </c>
      <c r="O68" s="264"/>
      <c r="P68" s="264"/>
      <c r="Q68" s="264"/>
      <c r="R68" s="264"/>
      <c r="S68" s="264"/>
      <c r="T68" s="264"/>
      <c r="U68" s="264"/>
      <c r="V68" s="264"/>
      <c r="W68" s="264"/>
      <c r="X68" s="264"/>
      <c r="Y68" s="264"/>
      <c r="Z68" s="264"/>
      <c r="AA68" s="264"/>
      <c r="AB68" s="264"/>
      <c r="AC68" s="264"/>
      <c r="AD68" s="264"/>
      <c r="AE68" s="265"/>
      <c r="AF68" s="267" t="str">
        <f t="shared" ref="AF68:AF74" si="1">IF(W68&lt;&gt;"","１／３以内","")</f>
        <v/>
      </c>
      <c r="AG68" s="268"/>
      <c r="AH68" s="268"/>
      <c r="AI68" s="268"/>
      <c r="AJ68" s="268"/>
      <c r="AK68" s="268"/>
      <c r="AL68" s="269"/>
      <c r="AM68" s="266" t="str">
        <f>IF(中間シート!H376&lt;&gt;0,中間シート!H376,"")</f>
        <v/>
      </c>
      <c r="AN68" s="266"/>
      <c r="AO68" s="266"/>
      <c r="AP68" s="266"/>
      <c r="AQ68" s="266"/>
      <c r="AR68" s="266"/>
      <c r="AS68" s="266"/>
      <c r="AT68" s="266"/>
      <c r="AU68" s="266"/>
    </row>
    <row r="69" spans="10:49" ht="17.100000000000001" customHeight="1" x14ac:dyDescent="0.2">
      <c r="J69" s="248" t="s">
        <v>110</v>
      </c>
      <c r="K69" s="248"/>
      <c r="L69" s="248"/>
      <c r="M69" s="248"/>
      <c r="N69" s="263" t="str">
        <f>IF(中間シート!D377&lt;&gt;0,中間シート!D377,"")</f>
        <v/>
      </c>
      <c r="O69" s="264"/>
      <c r="P69" s="264"/>
      <c r="Q69" s="264"/>
      <c r="R69" s="264"/>
      <c r="S69" s="264"/>
      <c r="T69" s="264"/>
      <c r="U69" s="264"/>
      <c r="V69" s="264"/>
      <c r="W69" s="264"/>
      <c r="X69" s="264"/>
      <c r="Y69" s="264"/>
      <c r="Z69" s="264"/>
      <c r="AA69" s="264"/>
      <c r="AB69" s="264"/>
      <c r="AC69" s="264"/>
      <c r="AD69" s="264"/>
      <c r="AE69" s="265"/>
      <c r="AF69" s="267" t="str">
        <f t="shared" si="1"/>
        <v/>
      </c>
      <c r="AG69" s="268"/>
      <c r="AH69" s="268"/>
      <c r="AI69" s="268"/>
      <c r="AJ69" s="268"/>
      <c r="AK69" s="268"/>
      <c r="AL69" s="269"/>
      <c r="AM69" s="266" t="str">
        <f>IF(中間シート!H377&lt;&gt;0,中間シート!H377,"")</f>
        <v/>
      </c>
      <c r="AN69" s="266"/>
      <c r="AO69" s="266"/>
      <c r="AP69" s="266"/>
      <c r="AQ69" s="266"/>
      <c r="AR69" s="266"/>
      <c r="AS69" s="266"/>
      <c r="AT69" s="266"/>
      <c r="AU69" s="266"/>
    </row>
    <row r="70" spans="10:49" ht="17.100000000000001" customHeight="1" x14ac:dyDescent="0.2">
      <c r="J70" s="248" t="s">
        <v>111</v>
      </c>
      <c r="K70" s="248"/>
      <c r="L70" s="248"/>
      <c r="M70" s="248"/>
      <c r="N70" s="263" t="str">
        <f>IF(中間シート!D378&lt;&gt;0,中間シート!D378,"")</f>
        <v/>
      </c>
      <c r="O70" s="264"/>
      <c r="P70" s="264"/>
      <c r="Q70" s="264"/>
      <c r="R70" s="264"/>
      <c r="S70" s="264"/>
      <c r="T70" s="264"/>
      <c r="U70" s="264"/>
      <c r="V70" s="264"/>
      <c r="W70" s="264"/>
      <c r="X70" s="264"/>
      <c r="Y70" s="264"/>
      <c r="Z70" s="264"/>
      <c r="AA70" s="264"/>
      <c r="AB70" s="264"/>
      <c r="AC70" s="264"/>
      <c r="AD70" s="264"/>
      <c r="AE70" s="265"/>
      <c r="AF70" s="267" t="str">
        <f t="shared" si="1"/>
        <v/>
      </c>
      <c r="AG70" s="268"/>
      <c r="AH70" s="268"/>
      <c r="AI70" s="268"/>
      <c r="AJ70" s="268"/>
      <c r="AK70" s="268"/>
      <c r="AL70" s="269"/>
      <c r="AM70" s="266" t="str">
        <f>IF(中間シート!H378&lt;&gt;0,中間シート!H378,"")</f>
        <v/>
      </c>
      <c r="AN70" s="266"/>
      <c r="AO70" s="266"/>
      <c r="AP70" s="266"/>
      <c r="AQ70" s="266"/>
      <c r="AR70" s="266"/>
      <c r="AS70" s="266"/>
      <c r="AT70" s="266"/>
      <c r="AU70" s="266"/>
    </row>
    <row r="71" spans="10:49" ht="17.100000000000001" customHeight="1" x14ac:dyDescent="0.2">
      <c r="J71" s="248" t="s">
        <v>112</v>
      </c>
      <c r="K71" s="248"/>
      <c r="L71" s="248"/>
      <c r="M71" s="248"/>
      <c r="N71" s="263" t="str">
        <f>IF(中間シート!D379&lt;&gt;0,中間シート!D379,"")</f>
        <v/>
      </c>
      <c r="O71" s="264"/>
      <c r="P71" s="264"/>
      <c r="Q71" s="264"/>
      <c r="R71" s="264"/>
      <c r="S71" s="264"/>
      <c r="T71" s="264"/>
      <c r="U71" s="264"/>
      <c r="V71" s="264"/>
      <c r="W71" s="264"/>
      <c r="X71" s="264"/>
      <c r="Y71" s="264"/>
      <c r="Z71" s="264"/>
      <c r="AA71" s="264"/>
      <c r="AB71" s="264"/>
      <c r="AC71" s="264"/>
      <c r="AD71" s="264"/>
      <c r="AE71" s="265"/>
      <c r="AF71" s="267" t="str">
        <f t="shared" si="1"/>
        <v/>
      </c>
      <c r="AG71" s="268"/>
      <c r="AH71" s="268"/>
      <c r="AI71" s="268"/>
      <c r="AJ71" s="268"/>
      <c r="AK71" s="268"/>
      <c r="AL71" s="269"/>
      <c r="AM71" s="266" t="str">
        <f>IF(中間シート!H379&lt;&gt;0,中間シート!H379,"")</f>
        <v/>
      </c>
      <c r="AN71" s="266"/>
      <c r="AO71" s="266"/>
      <c r="AP71" s="266"/>
      <c r="AQ71" s="266"/>
      <c r="AR71" s="266"/>
      <c r="AS71" s="266"/>
      <c r="AT71" s="266"/>
      <c r="AU71" s="266"/>
    </row>
    <row r="72" spans="10:49" ht="17.100000000000001" customHeight="1" x14ac:dyDescent="0.2">
      <c r="J72" s="248" t="s">
        <v>113</v>
      </c>
      <c r="K72" s="248"/>
      <c r="L72" s="248"/>
      <c r="M72" s="248"/>
      <c r="N72" s="263" t="str">
        <f>IF(中間シート!D380&lt;&gt;0,中間シート!D380,"")</f>
        <v/>
      </c>
      <c r="O72" s="264"/>
      <c r="P72" s="264"/>
      <c r="Q72" s="264"/>
      <c r="R72" s="264"/>
      <c r="S72" s="264"/>
      <c r="T72" s="264"/>
      <c r="U72" s="264"/>
      <c r="V72" s="264"/>
      <c r="W72" s="264"/>
      <c r="X72" s="264"/>
      <c r="Y72" s="264"/>
      <c r="Z72" s="264"/>
      <c r="AA72" s="264"/>
      <c r="AB72" s="264"/>
      <c r="AC72" s="264"/>
      <c r="AD72" s="264"/>
      <c r="AE72" s="265"/>
      <c r="AF72" s="267" t="str">
        <f t="shared" si="1"/>
        <v/>
      </c>
      <c r="AG72" s="268"/>
      <c r="AH72" s="268"/>
      <c r="AI72" s="268"/>
      <c r="AJ72" s="268"/>
      <c r="AK72" s="268"/>
      <c r="AL72" s="269"/>
      <c r="AM72" s="266" t="str">
        <f>IF(中間シート!H380&lt;&gt;0,中間シート!H380,"")</f>
        <v/>
      </c>
      <c r="AN72" s="266"/>
      <c r="AO72" s="266"/>
      <c r="AP72" s="266"/>
      <c r="AQ72" s="266"/>
      <c r="AR72" s="266"/>
      <c r="AS72" s="266"/>
      <c r="AT72" s="266"/>
      <c r="AU72" s="266"/>
    </row>
    <row r="73" spans="10:49" ht="17.100000000000001" customHeight="1" x14ac:dyDescent="0.2">
      <c r="J73" s="248" t="s">
        <v>114</v>
      </c>
      <c r="K73" s="248"/>
      <c r="L73" s="248"/>
      <c r="M73" s="248"/>
      <c r="N73" s="263" t="str">
        <f>IF(中間シート!D381&lt;&gt;0,中間シート!D381,"")</f>
        <v/>
      </c>
      <c r="O73" s="264"/>
      <c r="P73" s="264"/>
      <c r="Q73" s="264"/>
      <c r="R73" s="264"/>
      <c r="S73" s="264"/>
      <c r="T73" s="264"/>
      <c r="U73" s="264"/>
      <c r="V73" s="264"/>
      <c r="W73" s="264"/>
      <c r="X73" s="264"/>
      <c r="Y73" s="264"/>
      <c r="Z73" s="264"/>
      <c r="AA73" s="264"/>
      <c r="AB73" s="264"/>
      <c r="AC73" s="264"/>
      <c r="AD73" s="264"/>
      <c r="AE73" s="265"/>
      <c r="AF73" s="267" t="str">
        <f t="shared" si="1"/>
        <v/>
      </c>
      <c r="AG73" s="268"/>
      <c r="AH73" s="268"/>
      <c r="AI73" s="268"/>
      <c r="AJ73" s="268"/>
      <c r="AK73" s="268"/>
      <c r="AL73" s="269"/>
      <c r="AM73" s="266" t="str">
        <f>IF(中間シート!H381&lt;&gt;0,中間シート!H381,"")</f>
        <v/>
      </c>
      <c r="AN73" s="266"/>
      <c r="AO73" s="266"/>
      <c r="AP73" s="266"/>
      <c r="AQ73" s="266"/>
      <c r="AR73" s="266"/>
      <c r="AS73" s="266"/>
      <c r="AT73" s="266"/>
      <c r="AU73" s="266"/>
    </row>
    <row r="74" spans="10:49" ht="17.100000000000001" customHeight="1" x14ac:dyDescent="0.2">
      <c r="J74" s="248" t="s">
        <v>115</v>
      </c>
      <c r="K74" s="248"/>
      <c r="L74" s="248"/>
      <c r="M74" s="248"/>
      <c r="N74" s="263" t="str">
        <f>IF(中間シート!D382&lt;&gt;0,中間シート!D382,"")</f>
        <v/>
      </c>
      <c r="O74" s="264"/>
      <c r="P74" s="264"/>
      <c r="Q74" s="264"/>
      <c r="R74" s="264"/>
      <c r="S74" s="264"/>
      <c r="T74" s="264"/>
      <c r="U74" s="264"/>
      <c r="V74" s="264"/>
      <c r="W74" s="264"/>
      <c r="X74" s="264"/>
      <c r="Y74" s="264"/>
      <c r="Z74" s="264"/>
      <c r="AA74" s="264"/>
      <c r="AB74" s="264"/>
      <c r="AC74" s="264"/>
      <c r="AD74" s="264"/>
      <c r="AE74" s="265"/>
      <c r="AF74" s="267" t="str">
        <f t="shared" si="1"/>
        <v/>
      </c>
      <c r="AG74" s="268"/>
      <c r="AH74" s="268"/>
      <c r="AI74" s="268"/>
      <c r="AJ74" s="268"/>
      <c r="AK74" s="268"/>
      <c r="AL74" s="269"/>
      <c r="AM74" s="266" t="str">
        <f>IF(中間シート!H382&lt;&gt;0,中間シート!H382,"")</f>
        <v/>
      </c>
      <c r="AN74" s="266"/>
      <c r="AO74" s="266"/>
      <c r="AP74" s="266"/>
      <c r="AQ74" s="266"/>
      <c r="AR74" s="266"/>
      <c r="AS74" s="266"/>
      <c r="AT74" s="266"/>
      <c r="AU74" s="266"/>
    </row>
    <row r="75" spans="10:49" ht="16.5" customHeight="1" x14ac:dyDescent="0.2">
      <c r="J75" s="248" t="s">
        <v>106</v>
      </c>
      <c r="K75" s="248"/>
      <c r="L75" s="248"/>
      <c r="M75" s="248"/>
      <c r="N75" s="263" t="str">
        <f>IF(N65&lt;&gt;"",SUM(N65:V74),"")</f>
        <v/>
      </c>
      <c r="O75" s="264"/>
      <c r="P75" s="264"/>
      <c r="Q75" s="264"/>
      <c r="R75" s="264"/>
      <c r="S75" s="264"/>
      <c r="T75" s="264"/>
      <c r="U75" s="264"/>
      <c r="V75" s="264"/>
      <c r="W75" s="264"/>
      <c r="X75" s="264"/>
      <c r="Y75" s="264"/>
      <c r="Z75" s="264"/>
      <c r="AA75" s="264"/>
      <c r="AB75" s="264"/>
      <c r="AC75" s="264"/>
      <c r="AD75" s="264"/>
      <c r="AE75" s="265"/>
      <c r="AF75" s="267"/>
      <c r="AG75" s="268"/>
      <c r="AH75" s="268"/>
      <c r="AI75" s="268"/>
      <c r="AJ75" s="268"/>
      <c r="AK75" s="268"/>
      <c r="AL75" s="269"/>
      <c r="AM75" s="266" t="str">
        <f>IF(AM65&lt;&gt;"",SUM(AM65:AU74),"")</f>
        <v/>
      </c>
      <c r="AN75" s="266"/>
      <c r="AO75" s="266"/>
      <c r="AP75" s="266"/>
      <c r="AQ75" s="266"/>
      <c r="AR75" s="266"/>
      <c r="AS75" s="266"/>
      <c r="AT75" s="266"/>
      <c r="AU75" s="266"/>
      <c r="AW75" s="62" t="str">
        <f>IF(SUM(中間シート!$E$281:$E$370)=0,"",IF(SUM(中間シート!$E$281:$E$370)&gt;30,"←この値は使用しません。様式第１（30事業場90台）シートを参考ください！",IF(OR(SUM(中間シート!$E$281:$E$370)&gt;=3,中間シート!G3&gt;=3),"←この値を申請の補助金交付申請額欄に記載してください","←この値は使用しません。様式第１（通常）シートを参考ください！")))</f>
        <v/>
      </c>
    </row>
    <row r="76" spans="10:49" x14ac:dyDescent="0.2">
      <c r="J76" s="50" t="s">
        <v>107</v>
      </c>
      <c r="K76" s="50"/>
      <c r="L76" s="50"/>
    </row>
    <row r="77" spans="10:49" x14ac:dyDescent="0.2">
      <c r="J77" s="72" t="s">
        <v>311</v>
      </c>
      <c r="K77" s="50"/>
      <c r="L77" s="50"/>
    </row>
    <row r="78" spans="10:49" x14ac:dyDescent="0.2">
      <c r="J78" s="72" t="s">
        <v>313</v>
      </c>
      <c r="K78" s="50"/>
      <c r="L78" s="50"/>
    </row>
    <row r="79" spans="10:49" x14ac:dyDescent="0.2">
      <c r="J79" s="72" t="s">
        <v>312</v>
      </c>
      <c r="L79" s="50"/>
    </row>
    <row r="80" spans="10:49" x14ac:dyDescent="0.2">
      <c r="J80" s="53"/>
      <c r="K80" s="50"/>
      <c r="L80" s="50"/>
    </row>
    <row r="81" spans="11:12" x14ac:dyDescent="0.2">
      <c r="K81" s="50"/>
      <c r="L81" s="50"/>
    </row>
  </sheetData>
  <mergeCells count="276">
    <mergeCell ref="N73:AE73"/>
    <mergeCell ref="N74:AE74"/>
    <mergeCell ref="N75:AE75"/>
    <mergeCell ref="M59:AV60"/>
    <mergeCell ref="J75:M75"/>
    <mergeCell ref="AF75:AL75"/>
    <mergeCell ref="AM75:AU75"/>
    <mergeCell ref="J73:M73"/>
    <mergeCell ref="AF73:AL73"/>
    <mergeCell ref="AM73:AU73"/>
    <mergeCell ref="J74:M74"/>
    <mergeCell ref="AF74:AL74"/>
    <mergeCell ref="AM74:AU74"/>
    <mergeCell ref="N65:AE65"/>
    <mergeCell ref="N66:AE66"/>
    <mergeCell ref="N67:AE67"/>
    <mergeCell ref="N68:AE68"/>
    <mergeCell ref="N69:AE69"/>
    <mergeCell ref="N70:AE70"/>
    <mergeCell ref="N71:AE71"/>
    <mergeCell ref="N72:AE72"/>
    <mergeCell ref="J71:M71"/>
    <mergeCell ref="AF71:AL71"/>
    <mergeCell ref="AM71:AU71"/>
    <mergeCell ref="J72:M72"/>
    <mergeCell ref="AF72:AL72"/>
    <mergeCell ref="AM72:AU72"/>
    <mergeCell ref="J69:M69"/>
    <mergeCell ref="AF69:AL69"/>
    <mergeCell ref="AM69:AU69"/>
    <mergeCell ref="J70:M70"/>
    <mergeCell ref="AF70:AL70"/>
    <mergeCell ref="AM70:AU70"/>
    <mergeCell ref="J67:M67"/>
    <mergeCell ref="AF67:AL67"/>
    <mergeCell ref="AM67:AU67"/>
    <mergeCell ref="J68:M68"/>
    <mergeCell ref="AF68:AL68"/>
    <mergeCell ref="AM68:AU68"/>
    <mergeCell ref="J65:M65"/>
    <mergeCell ref="AF65:AL65"/>
    <mergeCell ref="AM65:AU65"/>
    <mergeCell ref="J66:M66"/>
    <mergeCell ref="AF66:AL66"/>
    <mergeCell ref="AM66:AU66"/>
    <mergeCell ref="J64:M64"/>
    <mergeCell ref="AF64:AL64"/>
    <mergeCell ref="AM64:AU64"/>
    <mergeCell ref="J57:M57"/>
    <mergeCell ref="N57:T57"/>
    <mergeCell ref="U57:V57"/>
    <mergeCell ref="W57:AC57"/>
    <mergeCell ref="AD57:AE57"/>
    <mergeCell ref="AF57:AK57"/>
    <mergeCell ref="N64:AE64"/>
    <mergeCell ref="J56:M56"/>
    <mergeCell ref="N56:T56"/>
    <mergeCell ref="U56:V56"/>
    <mergeCell ref="W56:AC56"/>
    <mergeCell ref="AD56:AE56"/>
    <mergeCell ref="AF56:AK56"/>
    <mergeCell ref="J55:M55"/>
    <mergeCell ref="N55:T55"/>
    <mergeCell ref="U55:V55"/>
    <mergeCell ref="W55:AC55"/>
    <mergeCell ref="AD55:AE55"/>
    <mergeCell ref="AF55:AK55"/>
    <mergeCell ref="J54:M54"/>
    <mergeCell ref="N54:T54"/>
    <mergeCell ref="U54:V54"/>
    <mergeCell ref="W54:AC54"/>
    <mergeCell ref="AD54:AE54"/>
    <mergeCell ref="AF54:AK54"/>
    <mergeCell ref="J53:M53"/>
    <mergeCell ref="N53:T53"/>
    <mergeCell ref="U53:V53"/>
    <mergeCell ref="W53:AC53"/>
    <mergeCell ref="AD53:AE53"/>
    <mergeCell ref="AF53:AK53"/>
    <mergeCell ref="J52:M52"/>
    <mergeCell ref="N52:T52"/>
    <mergeCell ref="U52:V52"/>
    <mergeCell ref="W52:AC52"/>
    <mergeCell ref="AD52:AE52"/>
    <mergeCell ref="AF52:AK52"/>
    <mergeCell ref="J51:M51"/>
    <mergeCell ref="N51:T51"/>
    <mergeCell ref="U51:V51"/>
    <mergeCell ref="W51:AC51"/>
    <mergeCell ref="AD51:AE51"/>
    <mergeCell ref="AF51:AK51"/>
    <mergeCell ref="J50:M50"/>
    <mergeCell ref="N50:T50"/>
    <mergeCell ref="U50:V50"/>
    <mergeCell ref="W50:AC50"/>
    <mergeCell ref="AD50:AE50"/>
    <mergeCell ref="AF50:AK50"/>
    <mergeCell ref="J49:M49"/>
    <mergeCell ref="N49:T49"/>
    <mergeCell ref="U49:V49"/>
    <mergeCell ref="W49:AC49"/>
    <mergeCell ref="AD49:AE49"/>
    <mergeCell ref="AF49:AK49"/>
    <mergeCell ref="J48:M48"/>
    <mergeCell ref="N48:T48"/>
    <mergeCell ref="U48:V48"/>
    <mergeCell ref="W48:AC48"/>
    <mergeCell ref="AD48:AE48"/>
    <mergeCell ref="AF48:AK48"/>
    <mergeCell ref="J47:M47"/>
    <mergeCell ref="N47:T47"/>
    <mergeCell ref="U47:V47"/>
    <mergeCell ref="W47:AC47"/>
    <mergeCell ref="AD47:AE47"/>
    <mergeCell ref="AF47:AK47"/>
    <mergeCell ref="J46:M46"/>
    <mergeCell ref="N46:T46"/>
    <mergeCell ref="U46:V46"/>
    <mergeCell ref="W46:AC46"/>
    <mergeCell ref="AD46:AE46"/>
    <mergeCell ref="AF46:AK46"/>
    <mergeCell ref="J45:M45"/>
    <mergeCell ref="N45:T45"/>
    <mergeCell ref="U45:V45"/>
    <mergeCell ref="W45:AC45"/>
    <mergeCell ref="AD45:AE45"/>
    <mergeCell ref="AF45:AK45"/>
    <mergeCell ref="J44:M44"/>
    <mergeCell ref="N44:T44"/>
    <mergeCell ref="U44:V44"/>
    <mergeCell ref="W44:AC44"/>
    <mergeCell ref="AD44:AE44"/>
    <mergeCell ref="AF44:AK44"/>
    <mergeCell ref="J43:M43"/>
    <mergeCell ref="N43:T43"/>
    <mergeCell ref="U43:V43"/>
    <mergeCell ref="W43:AC43"/>
    <mergeCell ref="AD43:AE43"/>
    <mergeCell ref="AF43:AK43"/>
    <mergeCell ref="J42:M42"/>
    <mergeCell ref="N42:T42"/>
    <mergeCell ref="U42:V42"/>
    <mergeCell ref="W42:AC42"/>
    <mergeCell ref="AD42:AE42"/>
    <mergeCell ref="AF42:AK42"/>
    <mergeCell ref="J41:M41"/>
    <mergeCell ref="N41:T41"/>
    <mergeCell ref="U41:V41"/>
    <mergeCell ref="W41:AC41"/>
    <mergeCell ref="AD41:AE41"/>
    <mergeCell ref="AF41:AK41"/>
    <mergeCell ref="J40:M40"/>
    <mergeCell ref="N40:T40"/>
    <mergeCell ref="U40:V40"/>
    <mergeCell ref="W40:AC40"/>
    <mergeCell ref="AD40:AE40"/>
    <mergeCell ref="AF40:AK40"/>
    <mergeCell ref="J39:M39"/>
    <mergeCell ref="N39:T39"/>
    <mergeCell ref="U39:V39"/>
    <mergeCell ref="W39:AC39"/>
    <mergeCell ref="AD39:AE39"/>
    <mergeCell ref="AF39:AK39"/>
    <mergeCell ref="J38:M38"/>
    <mergeCell ref="N38:T38"/>
    <mergeCell ref="U38:V38"/>
    <mergeCell ref="W38:AC38"/>
    <mergeCell ref="AD38:AE38"/>
    <mergeCell ref="AF38:AK38"/>
    <mergeCell ref="J37:M37"/>
    <mergeCell ref="N37:T37"/>
    <mergeCell ref="U37:V37"/>
    <mergeCell ref="W37:AC37"/>
    <mergeCell ref="AD37:AE37"/>
    <mergeCell ref="AF37:AK37"/>
    <mergeCell ref="J36:M36"/>
    <mergeCell ref="N36:T36"/>
    <mergeCell ref="U36:V36"/>
    <mergeCell ref="W36:AC36"/>
    <mergeCell ref="AD36:AE36"/>
    <mergeCell ref="AF36:AK36"/>
    <mergeCell ref="J35:M35"/>
    <mergeCell ref="N35:T35"/>
    <mergeCell ref="U35:V35"/>
    <mergeCell ref="W35:AC35"/>
    <mergeCell ref="AD35:AE35"/>
    <mergeCell ref="AF35:AK35"/>
    <mergeCell ref="J34:M34"/>
    <mergeCell ref="N34:T34"/>
    <mergeCell ref="U34:V34"/>
    <mergeCell ref="W34:AC34"/>
    <mergeCell ref="AD34:AE34"/>
    <mergeCell ref="AF34:AK34"/>
    <mergeCell ref="J33:M33"/>
    <mergeCell ref="N33:T33"/>
    <mergeCell ref="U33:V33"/>
    <mergeCell ref="W33:AC33"/>
    <mergeCell ref="AD33:AE33"/>
    <mergeCell ref="AF33:AK33"/>
    <mergeCell ref="J32:M32"/>
    <mergeCell ref="N32:T32"/>
    <mergeCell ref="U32:V32"/>
    <mergeCell ref="W32:AC32"/>
    <mergeCell ref="AD32:AE32"/>
    <mergeCell ref="AF32:AK32"/>
    <mergeCell ref="J31:M31"/>
    <mergeCell ref="N31:T31"/>
    <mergeCell ref="U31:V31"/>
    <mergeCell ref="W31:AC31"/>
    <mergeCell ref="AD31:AE31"/>
    <mergeCell ref="AF31:AK31"/>
    <mergeCell ref="J30:M30"/>
    <mergeCell ref="N30:T30"/>
    <mergeCell ref="U30:V30"/>
    <mergeCell ref="W30:AC30"/>
    <mergeCell ref="AD30:AE30"/>
    <mergeCell ref="AF30:AK30"/>
    <mergeCell ref="J29:M29"/>
    <mergeCell ref="N29:T29"/>
    <mergeCell ref="U29:V29"/>
    <mergeCell ref="W29:AC29"/>
    <mergeCell ref="AD29:AE29"/>
    <mergeCell ref="AF29:AK29"/>
    <mergeCell ref="J27:M27"/>
    <mergeCell ref="J28:M28"/>
    <mergeCell ref="N28:T28"/>
    <mergeCell ref="U28:V28"/>
    <mergeCell ref="W28:AC28"/>
    <mergeCell ref="AD28:AE28"/>
    <mergeCell ref="AF28:AK28"/>
    <mergeCell ref="N27:AK27"/>
    <mergeCell ref="J22:M22"/>
    <mergeCell ref="N22:W22"/>
    <mergeCell ref="Y22:AA22"/>
    <mergeCell ref="AB22:AP22"/>
    <mergeCell ref="J23:M23"/>
    <mergeCell ref="N23:W23"/>
    <mergeCell ref="Y23:AA23"/>
    <mergeCell ref="AB23:AP23"/>
    <mergeCell ref="J24:M24"/>
    <mergeCell ref="N24:W24"/>
    <mergeCell ref="Y24:AA24"/>
    <mergeCell ref="AB24:AP24"/>
    <mergeCell ref="J19:M19"/>
    <mergeCell ref="N19:W19"/>
    <mergeCell ref="Y19:AA19"/>
    <mergeCell ref="AB19:AP19"/>
    <mergeCell ref="J20:M20"/>
    <mergeCell ref="N20:W20"/>
    <mergeCell ref="Y20:AA20"/>
    <mergeCell ref="AB20:AP20"/>
    <mergeCell ref="J21:M21"/>
    <mergeCell ref="N21:W21"/>
    <mergeCell ref="Y21:AA21"/>
    <mergeCell ref="AB21:AP21"/>
    <mergeCell ref="J16:M16"/>
    <mergeCell ref="N16:W16"/>
    <mergeCell ref="Y16:AA16"/>
    <mergeCell ref="AB16:AP16"/>
    <mergeCell ref="J17:M17"/>
    <mergeCell ref="N17:W17"/>
    <mergeCell ref="Y17:AA17"/>
    <mergeCell ref="AB17:AP17"/>
    <mergeCell ref="J18:M18"/>
    <mergeCell ref="N18:W18"/>
    <mergeCell ref="Y18:AA18"/>
    <mergeCell ref="AB18:AP18"/>
    <mergeCell ref="J10:M14"/>
    <mergeCell ref="N10:W14"/>
    <mergeCell ref="X10:AP14"/>
    <mergeCell ref="X3:AH3"/>
    <mergeCell ref="X4:AH4"/>
    <mergeCell ref="J15:M15"/>
    <mergeCell ref="N15:W15"/>
    <mergeCell ref="Y15:AA15"/>
    <mergeCell ref="AB15:AP15"/>
  </mergeCells>
  <phoneticPr fontId="6"/>
  <pageMargins left="0.98425196850393704" right="0.70866141732283472" top="0.6889763779527559" bottom="0.6889763779527559" header="0.31496062992125984" footer="0.31496062992125984"/>
  <pageSetup paperSize="9" scale="96" fitToWidth="0" fitToHeight="0" orientation="portrait" r:id="rId1"/>
  <rowBreaks count="1" manualBreakCount="1">
    <brk id="6" max="16383" man="1"/>
  </rowBreaks>
  <extLst>
    <ext xmlns:x14="http://schemas.microsoft.com/office/spreadsheetml/2009/9/main" uri="{78C0D931-6437-407d-A8EE-F0AAD7539E65}">
      <x14:conditionalFormattings>
        <x14:conditionalFormatting xmlns:xm="http://schemas.microsoft.com/office/excel/2006/main">
          <x14:cfRule type="containsText" priority="1" operator="containsText" id="{8464FA20-ECB4-404E-9DB3-771ACFBBFCFC}">
            <xm:f>NOT(ISERROR(SEARCH("-",Y15)))</xm:f>
            <xm:f>"-"</xm:f>
            <x14:dxf>
              <font>
                <b/>
                <i val="0"/>
              </font>
            </x14:dxf>
          </x14:cfRule>
          <xm:sqref>Y15:Y24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59999389629810485"/>
  </sheetPr>
  <dimension ref="A1:AW180"/>
  <sheetViews>
    <sheetView showGridLines="0" topLeftCell="I1" workbookViewId="0">
      <selection activeCell="X95" sqref="X95:AO95"/>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16384" width="9" style="20"/>
  </cols>
  <sheetData>
    <row r="1" spans="7:42" x14ac:dyDescent="0.2">
      <c r="J1" s="20" t="s">
        <v>83</v>
      </c>
    </row>
    <row r="2" spans="7:42" x14ac:dyDescent="0.2">
      <c r="J2" s="20" t="s">
        <v>518</v>
      </c>
    </row>
    <row r="3" spans="7:42" ht="17.100000000000001" customHeight="1" x14ac:dyDescent="0.2">
      <c r="J3" s="20" t="s">
        <v>85</v>
      </c>
      <c r="X3" s="253" t="str">
        <f>IF(N174&lt;&gt;0,N174,"")</f>
        <v/>
      </c>
      <c r="Y3" s="253"/>
      <c r="Z3" s="253"/>
      <c r="AA3" s="253"/>
      <c r="AB3" s="253"/>
      <c r="AC3" s="253"/>
      <c r="AD3" s="253"/>
      <c r="AE3" s="253"/>
      <c r="AF3" s="253"/>
      <c r="AG3" s="253"/>
      <c r="AH3" s="253"/>
      <c r="AI3" s="49"/>
      <c r="AJ3" s="49"/>
      <c r="AM3" s="20" t="s">
        <v>86</v>
      </c>
    </row>
    <row r="4" spans="7:42" ht="17.100000000000001" customHeight="1" x14ac:dyDescent="0.2">
      <c r="J4" s="20" t="s">
        <v>87</v>
      </c>
      <c r="X4" s="253" t="str">
        <f>IF(W174&lt;&gt;0,W174,"")</f>
        <v/>
      </c>
      <c r="Y4" s="253"/>
      <c r="Z4" s="253"/>
      <c r="AA4" s="253"/>
      <c r="AB4" s="253"/>
      <c r="AC4" s="253"/>
      <c r="AD4" s="253"/>
      <c r="AE4" s="253"/>
      <c r="AF4" s="253"/>
      <c r="AG4" s="253"/>
      <c r="AH4" s="253"/>
      <c r="AI4" s="49"/>
      <c r="AJ4" s="49"/>
      <c r="AM4" s="20" t="s">
        <v>86</v>
      </c>
      <c r="AN4" s="62" t="str">
        <f>IF(SUM(中間シート!$E$281:$E$370)=0,"",IF(SUM(中間シート!$E$281:$E$370)&gt;30,"←この値を申請の補助対象経費欄に記載してください",IF(OR(SUM(中間シート!$E$281:$E$370)&gt;=3,中間シート!G3&gt;=3),"←この値は使用しません。様式第１（10事業場30台）シートを参考ください！","←この値は使用しません。様式第１（通常）シートを参考ください！")))</f>
        <v/>
      </c>
    </row>
    <row r="6" spans="7:42" x14ac:dyDescent="0.2">
      <c r="J6" s="20" t="s">
        <v>88</v>
      </c>
    </row>
    <row r="8" spans="7:42" x14ac:dyDescent="0.2">
      <c r="J8" s="20" t="s">
        <v>512</v>
      </c>
    </row>
    <row r="9" spans="7:42" ht="16.5" customHeight="1" x14ac:dyDescent="0.2">
      <c r="J9" s="248" t="s">
        <v>89</v>
      </c>
      <c r="K9" s="248"/>
      <c r="L9" s="248"/>
      <c r="M9" s="248"/>
      <c r="N9" s="254" t="s">
        <v>90</v>
      </c>
      <c r="O9" s="254"/>
      <c r="P9" s="254"/>
      <c r="Q9" s="254"/>
      <c r="R9" s="254"/>
      <c r="S9" s="254"/>
      <c r="T9" s="254"/>
      <c r="U9" s="254"/>
      <c r="V9" s="254"/>
      <c r="W9" s="254"/>
      <c r="X9" s="248" t="s">
        <v>91</v>
      </c>
      <c r="Y9" s="248"/>
      <c r="Z9" s="248"/>
      <c r="AA9" s="248"/>
      <c r="AB9" s="248"/>
      <c r="AC9" s="248"/>
      <c r="AD9" s="248"/>
      <c r="AE9" s="248"/>
      <c r="AF9" s="248"/>
      <c r="AG9" s="248"/>
      <c r="AH9" s="248"/>
      <c r="AI9" s="248"/>
      <c r="AJ9" s="248"/>
      <c r="AK9" s="248"/>
      <c r="AL9" s="248"/>
      <c r="AM9" s="248"/>
      <c r="AN9" s="248"/>
      <c r="AO9" s="248"/>
      <c r="AP9" s="248"/>
    </row>
    <row r="10" spans="7:42" ht="16.5" customHeight="1" x14ac:dyDescent="0.2">
      <c r="J10" s="248"/>
      <c r="K10" s="248"/>
      <c r="L10" s="248"/>
      <c r="M10" s="248"/>
      <c r="N10" s="254"/>
      <c r="O10" s="254"/>
      <c r="P10" s="254"/>
      <c r="Q10" s="254"/>
      <c r="R10" s="254"/>
      <c r="S10" s="254"/>
      <c r="T10" s="254"/>
      <c r="U10" s="254"/>
      <c r="V10" s="254"/>
      <c r="W10" s="254"/>
      <c r="X10" s="248"/>
      <c r="Y10" s="248"/>
      <c r="Z10" s="248"/>
      <c r="AA10" s="248"/>
      <c r="AB10" s="248"/>
      <c r="AC10" s="248"/>
      <c r="AD10" s="248"/>
      <c r="AE10" s="248"/>
      <c r="AF10" s="248"/>
      <c r="AG10" s="248"/>
      <c r="AH10" s="248"/>
      <c r="AI10" s="248"/>
      <c r="AJ10" s="248"/>
      <c r="AK10" s="248"/>
      <c r="AL10" s="248"/>
      <c r="AM10" s="248"/>
      <c r="AN10" s="248"/>
      <c r="AO10" s="248"/>
      <c r="AP10" s="248"/>
    </row>
    <row r="11" spans="7:42" ht="16.5" customHeight="1" x14ac:dyDescent="0.2">
      <c r="J11" s="248"/>
      <c r="K11" s="248"/>
      <c r="L11" s="248"/>
      <c r="M11" s="248"/>
      <c r="N11" s="254"/>
      <c r="O11" s="254"/>
      <c r="P11" s="254"/>
      <c r="Q11" s="254"/>
      <c r="R11" s="254"/>
      <c r="S11" s="254"/>
      <c r="T11" s="254"/>
      <c r="U11" s="254"/>
      <c r="V11" s="254"/>
      <c r="W11" s="254"/>
      <c r="X11" s="248"/>
      <c r="Y11" s="248"/>
      <c r="Z11" s="248"/>
      <c r="AA11" s="248"/>
      <c r="AB11" s="248"/>
      <c r="AC11" s="248"/>
      <c r="AD11" s="248"/>
      <c r="AE11" s="248"/>
      <c r="AF11" s="248"/>
      <c r="AG11" s="248"/>
      <c r="AH11" s="248"/>
      <c r="AI11" s="248"/>
      <c r="AJ11" s="248"/>
      <c r="AK11" s="248"/>
      <c r="AL11" s="248"/>
      <c r="AM11" s="248"/>
      <c r="AN11" s="248"/>
      <c r="AO11" s="248"/>
      <c r="AP11" s="248"/>
    </row>
    <row r="12" spans="7:42" ht="16.5" customHeight="1" x14ac:dyDescent="0.2">
      <c r="J12" s="248"/>
      <c r="K12" s="248"/>
      <c r="L12" s="248"/>
      <c r="M12" s="248"/>
      <c r="N12" s="254"/>
      <c r="O12" s="254"/>
      <c r="P12" s="254"/>
      <c r="Q12" s="254"/>
      <c r="R12" s="254"/>
      <c r="S12" s="254"/>
      <c r="T12" s="254"/>
      <c r="U12" s="254"/>
      <c r="V12" s="254"/>
      <c r="W12" s="254"/>
      <c r="X12" s="248"/>
      <c r="Y12" s="248"/>
      <c r="Z12" s="248"/>
      <c r="AA12" s="248"/>
      <c r="AB12" s="248"/>
      <c r="AC12" s="248"/>
      <c r="AD12" s="248"/>
      <c r="AE12" s="248"/>
      <c r="AF12" s="248"/>
      <c r="AG12" s="248"/>
      <c r="AH12" s="248"/>
      <c r="AI12" s="248"/>
      <c r="AJ12" s="248"/>
      <c r="AK12" s="248"/>
      <c r="AL12" s="248"/>
      <c r="AM12" s="248"/>
      <c r="AN12" s="248"/>
      <c r="AO12" s="248"/>
      <c r="AP12" s="248"/>
    </row>
    <row r="13" spans="7:42" ht="16.5" customHeight="1" x14ac:dyDescent="0.2">
      <c r="G13" s="20" t="s">
        <v>116</v>
      </c>
      <c r="J13" s="248"/>
      <c r="K13" s="248"/>
      <c r="L13" s="248"/>
      <c r="M13" s="248"/>
      <c r="N13" s="254"/>
      <c r="O13" s="254"/>
      <c r="P13" s="254"/>
      <c r="Q13" s="254"/>
      <c r="R13" s="254"/>
      <c r="S13" s="254"/>
      <c r="T13" s="254"/>
      <c r="U13" s="254"/>
      <c r="V13" s="254"/>
      <c r="W13" s="254"/>
      <c r="X13" s="248"/>
      <c r="Y13" s="248"/>
      <c r="Z13" s="248"/>
      <c r="AA13" s="248"/>
      <c r="AB13" s="248"/>
      <c r="AC13" s="248"/>
      <c r="AD13" s="248"/>
      <c r="AE13" s="248"/>
      <c r="AF13" s="248"/>
      <c r="AG13" s="248"/>
      <c r="AH13" s="248"/>
      <c r="AI13" s="248"/>
      <c r="AJ13" s="248"/>
      <c r="AK13" s="248"/>
      <c r="AL13" s="248"/>
      <c r="AM13" s="248"/>
      <c r="AN13" s="248"/>
      <c r="AO13" s="248"/>
      <c r="AP13" s="248"/>
    </row>
    <row r="14" spans="7:42" ht="17.100000000000001" customHeight="1" x14ac:dyDescent="0.2">
      <c r="G14" s="20">
        <v>1</v>
      </c>
      <c r="H14" s="20">
        <v>1</v>
      </c>
      <c r="J14" s="248" t="s">
        <v>92</v>
      </c>
      <c r="K14" s="248"/>
      <c r="L14" s="248"/>
      <c r="M14" s="248"/>
      <c r="N14" s="249" t="str">
        <f>IF(H14=1,中間シート!G4,"")</f>
        <v/>
      </c>
      <c r="O14" s="249"/>
      <c r="P14" s="249"/>
      <c r="Q14" s="249"/>
      <c r="R14" s="249"/>
      <c r="S14" s="249"/>
      <c r="T14" s="249"/>
      <c r="U14" s="249"/>
      <c r="V14" s="249"/>
      <c r="W14" s="249"/>
      <c r="X14" s="51" t="s">
        <v>93</v>
      </c>
      <c r="Y14" s="250" t="str">
        <f>IF(H14=1,IF(AND(中間シート!G5&lt;&gt;"",中間シート!H5&lt;&gt;""),中間シート!G5&amp;"-"&amp;中間シート!H5,""),"")</f>
        <v/>
      </c>
      <c r="Z14" s="250"/>
      <c r="AA14" s="250"/>
      <c r="AB14" s="251" t="str">
        <f>IF(H14=1,中間シート!G6&amp;中間シート!G7&amp;中間シート!G8&amp;中間シート!G9,"")</f>
        <v/>
      </c>
      <c r="AC14" s="251"/>
      <c r="AD14" s="251"/>
      <c r="AE14" s="251"/>
      <c r="AF14" s="251"/>
      <c r="AG14" s="251"/>
      <c r="AH14" s="251"/>
      <c r="AI14" s="251"/>
      <c r="AJ14" s="251"/>
      <c r="AK14" s="251"/>
      <c r="AL14" s="251"/>
      <c r="AM14" s="251"/>
      <c r="AN14" s="251"/>
      <c r="AO14" s="251"/>
      <c r="AP14" s="252"/>
    </row>
    <row r="15" spans="7:42" ht="17.100000000000001" customHeight="1" x14ac:dyDescent="0.2">
      <c r="G15" s="20">
        <v>2</v>
      </c>
      <c r="H15" s="20">
        <f>IF(G15&lt;=中間シート!$G$3,1,0)</f>
        <v>0</v>
      </c>
      <c r="J15" s="248" t="s">
        <v>94</v>
      </c>
      <c r="K15" s="248"/>
      <c r="L15" s="248"/>
      <c r="M15" s="248"/>
      <c r="N15" s="249" t="str">
        <f>IF(H15=1,中間シート!G10,"")</f>
        <v/>
      </c>
      <c r="O15" s="249"/>
      <c r="P15" s="249"/>
      <c r="Q15" s="249"/>
      <c r="R15" s="249"/>
      <c r="S15" s="249"/>
      <c r="T15" s="249"/>
      <c r="U15" s="249"/>
      <c r="V15" s="249"/>
      <c r="W15" s="249"/>
      <c r="X15" s="51" t="s">
        <v>93</v>
      </c>
      <c r="Y15" s="250" t="str">
        <f>IF(H15=1,IF(AND(中間シート!G11&lt;&gt;"",中間シート!H11&lt;&gt;""),中間シート!G11&amp;"-"&amp;中間シート!H11,""),"")</f>
        <v/>
      </c>
      <c r="Z15" s="250"/>
      <c r="AA15" s="250"/>
      <c r="AB15" s="251" t="str">
        <f>IF(H15=1,中間シート!G12&amp;中間シート!G13&amp;中間シート!G14&amp;中間シート!G15,"")</f>
        <v/>
      </c>
      <c r="AC15" s="251"/>
      <c r="AD15" s="251"/>
      <c r="AE15" s="251"/>
      <c r="AF15" s="251"/>
      <c r="AG15" s="251"/>
      <c r="AH15" s="251"/>
      <c r="AI15" s="251"/>
      <c r="AJ15" s="251"/>
      <c r="AK15" s="251"/>
      <c r="AL15" s="251"/>
      <c r="AM15" s="251"/>
      <c r="AN15" s="251"/>
      <c r="AO15" s="251"/>
      <c r="AP15" s="252"/>
    </row>
    <row r="16" spans="7:42" ht="17.100000000000001" customHeight="1" x14ac:dyDescent="0.2">
      <c r="G16" s="20">
        <v>3</v>
      </c>
      <c r="H16" s="20">
        <f>IF(G16&lt;=中間シート!$G$3,1,0)</f>
        <v>0</v>
      </c>
      <c r="J16" s="248" t="s">
        <v>108</v>
      </c>
      <c r="K16" s="248"/>
      <c r="L16" s="248"/>
      <c r="M16" s="248"/>
      <c r="N16" s="249" t="str">
        <f>IF(H16=1,中間シート!G16,"")</f>
        <v/>
      </c>
      <c r="O16" s="249"/>
      <c r="P16" s="249"/>
      <c r="Q16" s="249"/>
      <c r="R16" s="249"/>
      <c r="S16" s="249"/>
      <c r="T16" s="249"/>
      <c r="U16" s="249"/>
      <c r="V16" s="249"/>
      <c r="W16" s="249"/>
      <c r="X16" s="51" t="s">
        <v>93</v>
      </c>
      <c r="Y16" s="250" t="str">
        <f>IF(H16=1,IF(AND(中間シート!G17&lt;&gt;"",中間シート!H17&lt;&gt;""),中間シート!G17&amp;"-"&amp;中間シート!H17,""),"")</f>
        <v/>
      </c>
      <c r="Z16" s="250"/>
      <c r="AA16" s="250"/>
      <c r="AB16" s="251" t="str">
        <f>IF(H16=1,中間シート!G18&amp;中間シート!G19&amp;中間シート!G20&amp;中間シート!G21,"")</f>
        <v/>
      </c>
      <c r="AC16" s="251"/>
      <c r="AD16" s="251"/>
      <c r="AE16" s="251"/>
      <c r="AF16" s="251"/>
      <c r="AG16" s="251"/>
      <c r="AH16" s="251"/>
      <c r="AI16" s="251"/>
      <c r="AJ16" s="251"/>
      <c r="AK16" s="251"/>
      <c r="AL16" s="251"/>
      <c r="AM16" s="251"/>
      <c r="AN16" s="251"/>
      <c r="AO16" s="251"/>
      <c r="AP16" s="252"/>
    </row>
    <row r="17" spans="7:42" ht="17.100000000000001" customHeight="1" x14ac:dyDescent="0.2">
      <c r="G17" s="20">
        <v>4</v>
      </c>
      <c r="H17" s="20">
        <f>IF(G17&lt;=中間シート!$G$3,1,0)</f>
        <v>0</v>
      </c>
      <c r="J17" s="248" t="s">
        <v>109</v>
      </c>
      <c r="K17" s="248"/>
      <c r="L17" s="248"/>
      <c r="M17" s="248"/>
      <c r="N17" s="249" t="str">
        <f>IF(H17=1,中間シート!G22,"")</f>
        <v/>
      </c>
      <c r="O17" s="249"/>
      <c r="P17" s="249"/>
      <c r="Q17" s="249"/>
      <c r="R17" s="249"/>
      <c r="S17" s="249"/>
      <c r="T17" s="249"/>
      <c r="U17" s="249"/>
      <c r="V17" s="249"/>
      <c r="W17" s="249"/>
      <c r="X17" s="51" t="s">
        <v>93</v>
      </c>
      <c r="Y17" s="250" t="str">
        <f>IF(H17=1,IF(AND(中間シート!G23&lt;&gt;"",中間シート!H23&lt;&gt;""),中間シート!G23&amp;"-"&amp;中間シート!H23,""),"")</f>
        <v/>
      </c>
      <c r="Z17" s="250"/>
      <c r="AA17" s="250"/>
      <c r="AB17" s="251" t="str">
        <f>IF(H17=1,中間シート!G24&amp;中間シート!G25&amp;中間シート!G26&amp;中間シート!G27,"")</f>
        <v/>
      </c>
      <c r="AC17" s="251"/>
      <c r="AD17" s="251"/>
      <c r="AE17" s="251"/>
      <c r="AF17" s="251"/>
      <c r="AG17" s="251"/>
      <c r="AH17" s="251"/>
      <c r="AI17" s="251"/>
      <c r="AJ17" s="251"/>
      <c r="AK17" s="251"/>
      <c r="AL17" s="251"/>
      <c r="AM17" s="251"/>
      <c r="AN17" s="251"/>
      <c r="AO17" s="251"/>
      <c r="AP17" s="252"/>
    </row>
    <row r="18" spans="7:42" ht="17.100000000000001" customHeight="1" x14ac:dyDescent="0.2">
      <c r="G18" s="20">
        <v>5</v>
      </c>
      <c r="H18" s="20">
        <f>IF(G18&lt;=中間シート!$G$3,1,0)</f>
        <v>0</v>
      </c>
      <c r="J18" s="248" t="s">
        <v>110</v>
      </c>
      <c r="K18" s="248"/>
      <c r="L18" s="248"/>
      <c r="M18" s="248"/>
      <c r="N18" s="249" t="str">
        <f>IF(H18=1,中間シート!G28,"")</f>
        <v/>
      </c>
      <c r="O18" s="249"/>
      <c r="P18" s="249"/>
      <c r="Q18" s="249"/>
      <c r="R18" s="249"/>
      <c r="S18" s="249"/>
      <c r="T18" s="249"/>
      <c r="U18" s="249"/>
      <c r="V18" s="249"/>
      <c r="W18" s="249"/>
      <c r="X18" s="51" t="s">
        <v>93</v>
      </c>
      <c r="Y18" s="250" t="str">
        <f>IF(H18=1,IF(AND(中間シート!G29&lt;&gt;"",中間シート!H29&lt;&gt;""),中間シート!G29&amp;"-"&amp;中間シート!H29,""),"")</f>
        <v/>
      </c>
      <c r="Z18" s="250"/>
      <c r="AA18" s="250"/>
      <c r="AB18" s="251" t="str">
        <f>IF(H18=1,中間シート!G30&amp;中間シート!G31&amp;中間シート!G32&amp;中間シート!G33,"")</f>
        <v/>
      </c>
      <c r="AC18" s="251"/>
      <c r="AD18" s="251"/>
      <c r="AE18" s="251"/>
      <c r="AF18" s="251"/>
      <c r="AG18" s="251"/>
      <c r="AH18" s="251"/>
      <c r="AI18" s="251"/>
      <c r="AJ18" s="251"/>
      <c r="AK18" s="251"/>
      <c r="AL18" s="251"/>
      <c r="AM18" s="251"/>
      <c r="AN18" s="251"/>
      <c r="AO18" s="251"/>
      <c r="AP18" s="252"/>
    </row>
    <row r="19" spans="7:42" ht="17.100000000000001" customHeight="1" x14ac:dyDescent="0.2">
      <c r="G19" s="20">
        <v>6</v>
      </c>
      <c r="H19" s="20">
        <f>IF(G19&lt;=中間シート!$G$3,1,0)</f>
        <v>0</v>
      </c>
      <c r="J19" s="248" t="s">
        <v>111</v>
      </c>
      <c r="K19" s="248"/>
      <c r="L19" s="248"/>
      <c r="M19" s="248"/>
      <c r="N19" s="249" t="str">
        <f>IF(H19=1,中間シート!G34,"")</f>
        <v/>
      </c>
      <c r="O19" s="249"/>
      <c r="P19" s="249"/>
      <c r="Q19" s="249"/>
      <c r="R19" s="249"/>
      <c r="S19" s="249"/>
      <c r="T19" s="249"/>
      <c r="U19" s="249"/>
      <c r="V19" s="249"/>
      <c r="W19" s="249"/>
      <c r="X19" s="51" t="s">
        <v>93</v>
      </c>
      <c r="Y19" s="250" t="str">
        <f>IF(H19=1,IF(AND(中間シート!G35&lt;&gt;"",中間シート!H35&lt;&gt;""),中間シート!G35&amp;"-"&amp;中間シート!H35,""),"")</f>
        <v/>
      </c>
      <c r="Z19" s="250"/>
      <c r="AA19" s="250"/>
      <c r="AB19" s="251" t="str">
        <f>IF(H19=1,中間シート!G36&amp;中間シート!G37&amp;中間シート!G38&amp;中間シート!G39,"")</f>
        <v/>
      </c>
      <c r="AC19" s="251"/>
      <c r="AD19" s="251"/>
      <c r="AE19" s="251"/>
      <c r="AF19" s="251"/>
      <c r="AG19" s="251"/>
      <c r="AH19" s="251"/>
      <c r="AI19" s="251"/>
      <c r="AJ19" s="251"/>
      <c r="AK19" s="251"/>
      <c r="AL19" s="251"/>
      <c r="AM19" s="251"/>
      <c r="AN19" s="251"/>
      <c r="AO19" s="251"/>
      <c r="AP19" s="252"/>
    </row>
    <row r="20" spans="7:42" ht="17.100000000000001" customHeight="1" x14ac:dyDescent="0.2">
      <c r="G20" s="20">
        <v>7</v>
      </c>
      <c r="H20" s="20">
        <f>IF(G20&lt;=中間シート!$G$3,1,0)</f>
        <v>0</v>
      </c>
      <c r="J20" s="248" t="s">
        <v>112</v>
      </c>
      <c r="K20" s="248"/>
      <c r="L20" s="248"/>
      <c r="M20" s="248"/>
      <c r="N20" s="249" t="str">
        <f>IF(H20=1,中間シート!G40,"")</f>
        <v/>
      </c>
      <c r="O20" s="249"/>
      <c r="P20" s="249"/>
      <c r="Q20" s="249"/>
      <c r="R20" s="249"/>
      <c r="S20" s="249"/>
      <c r="T20" s="249"/>
      <c r="U20" s="249"/>
      <c r="V20" s="249"/>
      <c r="W20" s="249"/>
      <c r="X20" s="51" t="s">
        <v>93</v>
      </c>
      <c r="Y20" s="250" t="str">
        <f>IF(H20=1,IF(AND(中間シート!G41&lt;&gt;"",中間シート!H41&lt;&gt;""),中間シート!G41&amp;"-"&amp;中間シート!H41,""),"")</f>
        <v/>
      </c>
      <c r="Z20" s="250"/>
      <c r="AA20" s="250"/>
      <c r="AB20" s="251" t="str">
        <f>IF(H20=1,中間シート!G42&amp;中間シート!G43&amp;中間シート!G44&amp;中間シート!G45,"")</f>
        <v/>
      </c>
      <c r="AC20" s="251"/>
      <c r="AD20" s="251"/>
      <c r="AE20" s="251"/>
      <c r="AF20" s="251"/>
      <c r="AG20" s="251"/>
      <c r="AH20" s="251"/>
      <c r="AI20" s="251"/>
      <c r="AJ20" s="251"/>
      <c r="AK20" s="251"/>
      <c r="AL20" s="251"/>
      <c r="AM20" s="251"/>
      <c r="AN20" s="251"/>
      <c r="AO20" s="251"/>
      <c r="AP20" s="252"/>
    </row>
    <row r="21" spans="7:42" ht="17.100000000000001" customHeight="1" x14ac:dyDescent="0.2">
      <c r="G21" s="20">
        <v>8</v>
      </c>
      <c r="H21" s="20">
        <f>IF(G21&lt;=中間シート!$G$3,1,0)</f>
        <v>0</v>
      </c>
      <c r="J21" s="248" t="s">
        <v>113</v>
      </c>
      <c r="K21" s="248"/>
      <c r="L21" s="248"/>
      <c r="M21" s="248"/>
      <c r="N21" s="249" t="str">
        <f>IF(H21=1,中間シート!G46,"")</f>
        <v/>
      </c>
      <c r="O21" s="249"/>
      <c r="P21" s="249"/>
      <c r="Q21" s="249"/>
      <c r="R21" s="249"/>
      <c r="S21" s="249"/>
      <c r="T21" s="249"/>
      <c r="U21" s="249"/>
      <c r="V21" s="249"/>
      <c r="W21" s="249"/>
      <c r="X21" s="51" t="s">
        <v>93</v>
      </c>
      <c r="Y21" s="250" t="str">
        <f>IF(H21=1,IF(AND(中間シート!G47&lt;&gt;"",中間シート!H47&lt;&gt;""),中間シート!G47&amp;"-"&amp;中間シート!H47,""),"")</f>
        <v/>
      </c>
      <c r="Z21" s="250"/>
      <c r="AA21" s="250"/>
      <c r="AB21" s="251" t="str">
        <f>IF(H21=1,中間シート!G48&amp;中間シート!G49&amp;中間シート!G50&amp;中間シート!G51,"")</f>
        <v/>
      </c>
      <c r="AC21" s="251"/>
      <c r="AD21" s="251"/>
      <c r="AE21" s="251"/>
      <c r="AF21" s="251"/>
      <c r="AG21" s="251"/>
      <c r="AH21" s="251"/>
      <c r="AI21" s="251"/>
      <c r="AJ21" s="251"/>
      <c r="AK21" s="251"/>
      <c r="AL21" s="251"/>
      <c r="AM21" s="251"/>
      <c r="AN21" s="251"/>
      <c r="AO21" s="251"/>
      <c r="AP21" s="252"/>
    </row>
    <row r="22" spans="7:42" ht="17.100000000000001" customHeight="1" x14ac:dyDescent="0.2">
      <c r="G22" s="20">
        <v>9</v>
      </c>
      <c r="H22" s="20">
        <f>IF(G22&lt;=中間シート!$G$3,1,0)</f>
        <v>0</v>
      </c>
      <c r="J22" s="248" t="s">
        <v>114</v>
      </c>
      <c r="K22" s="248"/>
      <c r="L22" s="248"/>
      <c r="M22" s="248"/>
      <c r="N22" s="249" t="str">
        <f>IF(H22=1,中間シート!G52,"")</f>
        <v/>
      </c>
      <c r="O22" s="249"/>
      <c r="P22" s="249"/>
      <c r="Q22" s="249"/>
      <c r="R22" s="249"/>
      <c r="S22" s="249"/>
      <c r="T22" s="249"/>
      <c r="U22" s="249"/>
      <c r="V22" s="249"/>
      <c r="W22" s="249"/>
      <c r="X22" s="51" t="s">
        <v>93</v>
      </c>
      <c r="Y22" s="250" t="str">
        <f>IF(H22=1,IF(AND(中間シート!G53&lt;&gt;"",中間シート!H53&lt;&gt;""),中間シート!G53&amp;"-"&amp;中間シート!H53,""),"")</f>
        <v/>
      </c>
      <c r="Z22" s="250"/>
      <c r="AA22" s="250"/>
      <c r="AB22" s="251" t="str">
        <f>IF(H22=1,中間シート!G54&amp;中間シート!G55&amp;中間シート!G56&amp;中間シート!G57,"")</f>
        <v/>
      </c>
      <c r="AC22" s="251"/>
      <c r="AD22" s="251"/>
      <c r="AE22" s="251"/>
      <c r="AF22" s="251"/>
      <c r="AG22" s="251"/>
      <c r="AH22" s="251"/>
      <c r="AI22" s="251"/>
      <c r="AJ22" s="251"/>
      <c r="AK22" s="251"/>
      <c r="AL22" s="251"/>
      <c r="AM22" s="251"/>
      <c r="AN22" s="251"/>
      <c r="AO22" s="251"/>
      <c r="AP22" s="252"/>
    </row>
    <row r="23" spans="7:42" ht="17.100000000000001" customHeight="1" x14ac:dyDescent="0.2">
      <c r="G23" s="20">
        <v>10</v>
      </c>
      <c r="H23" s="20">
        <f>IF(G23&lt;=中間シート!$G$3,1,0)</f>
        <v>0</v>
      </c>
      <c r="J23" s="248" t="s">
        <v>115</v>
      </c>
      <c r="K23" s="248"/>
      <c r="L23" s="248"/>
      <c r="M23" s="248"/>
      <c r="N23" s="249" t="str">
        <f>IF(H23=1,中間シート!G58,"")</f>
        <v/>
      </c>
      <c r="O23" s="249"/>
      <c r="P23" s="249"/>
      <c r="Q23" s="249"/>
      <c r="R23" s="249"/>
      <c r="S23" s="249"/>
      <c r="T23" s="249"/>
      <c r="U23" s="249"/>
      <c r="V23" s="249"/>
      <c r="W23" s="249"/>
      <c r="X23" s="51" t="s">
        <v>93</v>
      </c>
      <c r="Y23" s="250" t="str">
        <f>IF(H23=1,IF(AND(中間シート!G59&lt;&gt;"",中間シート!H59&lt;&gt;""),中間シート!G59&amp;"-"&amp;中間シート!H59,""),"")</f>
        <v/>
      </c>
      <c r="Z23" s="250"/>
      <c r="AA23" s="250"/>
      <c r="AB23" s="251" t="str">
        <f>IF(H23=1,中間シート!G60&amp;中間シート!G61&amp;中間シート!G62&amp;中間シート!G63,"")</f>
        <v/>
      </c>
      <c r="AC23" s="251"/>
      <c r="AD23" s="251"/>
      <c r="AE23" s="251"/>
      <c r="AF23" s="251"/>
      <c r="AG23" s="251"/>
      <c r="AH23" s="251"/>
      <c r="AI23" s="251"/>
      <c r="AJ23" s="251"/>
      <c r="AK23" s="251"/>
      <c r="AL23" s="251"/>
      <c r="AM23" s="251"/>
      <c r="AN23" s="251"/>
      <c r="AO23" s="251"/>
      <c r="AP23" s="252"/>
    </row>
    <row r="24" spans="7:42" ht="17.100000000000001" customHeight="1" x14ac:dyDescent="0.2">
      <c r="G24" s="20">
        <v>11</v>
      </c>
      <c r="H24" s="20">
        <f>IF(G24&lt;=中間シート!$G$3,1,0)</f>
        <v>0</v>
      </c>
      <c r="J24" s="248" t="s">
        <v>117</v>
      </c>
      <c r="K24" s="248"/>
      <c r="L24" s="248"/>
      <c r="M24" s="248"/>
      <c r="N24" s="249" t="str">
        <f>IF(H24=1,中間シート!G64,"")</f>
        <v/>
      </c>
      <c r="O24" s="249"/>
      <c r="P24" s="249"/>
      <c r="Q24" s="249"/>
      <c r="R24" s="249"/>
      <c r="S24" s="249"/>
      <c r="T24" s="249"/>
      <c r="U24" s="249"/>
      <c r="V24" s="249"/>
      <c r="W24" s="249"/>
      <c r="X24" s="51" t="s">
        <v>93</v>
      </c>
      <c r="Y24" s="250" t="str">
        <f>IF(H24=1,IF(AND(中間シート!G65&lt;&gt;"",中間シート!H65&lt;&gt;""),中間シート!G65&amp;"-"&amp;中間シート!H65,""),"")</f>
        <v/>
      </c>
      <c r="Z24" s="250"/>
      <c r="AA24" s="250"/>
      <c r="AB24" s="251" t="str">
        <f>IF(H24=1,中間シート!G66&amp;中間シート!G67&amp;中間シート!G68&amp;中間シート!G69,"")</f>
        <v/>
      </c>
      <c r="AC24" s="251"/>
      <c r="AD24" s="251"/>
      <c r="AE24" s="251"/>
      <c r="AF24" s="251"/>
      <c r="AG24" s="251"/>
      <c r="AH24" s="251"/>
      <c r="AI24" s="251"/>
      <c r="AJ24" s="251"/>
      <c r="AK24" s="251"/>
      <c r="AL24" s="251"/>
      <c r="AM24" s="251"/>
      <c r="AN24" s="251"/>
      <c r="AO24" s="251"/>
      <c r="AP24" s="252"/>
    </row>
    <row r="25" spans="7:42" ht="17.100000000000001" customHeight="1" x14ac:dyDescent="0.2">
      <c r="G25" s="20">
        <v>12</v>
      </c>
      <c r="H25" s="20">
        <f>IF(G25&lt;=中間シート!$G$3,1,0)</f>
        <v>0</v>
      </c>
      <c r="J25" s="248" t="s">
        <v>118</v>
      </c>
      <c r="K25" s="248"/>
      <c r="L25" s="248"/>
      <c r="M25" s="248"/>
      <c r="N25" s="249" t="str">
        <f>IF(H25=1,中間シート!G70,"")</f>
        <v/>
      </c>
      <c r="O25" s="249"/>
      <c r="P25" s="249"/>
      <c r="Q25" s="249"/>
      <c r="R25" s="249"/>
      <c r="S25" s="249"/>
      <c r="T25" s="249"/>
      <c r="U25" s="249"/>
      <c r="V25" s="249"/>
      <c r="W25" s="249"/>
      <c r="X25" s="51" t="s">
        <v>93</v>
      </c>
      <c r="Y25" s="250" t="str">
        <f>IF(H25=1,IF(AND(中間シート!G71&lt;&gt;"",中間シート!H71&lt;&gt;""),中間シート!G71&amp;"-"&amp;中間シート!H71,""),"")</f>
        <v/>
      </c>
      <c r="Z25" s="250"/>
      <c r="AA25" s="250"/>
      <c r="AB25" s="251" t="str">
        <f>IF(H25=1,中間シート!G72&amp;中間シート!G73&amp;中間シート!G74&amp;中間シート!G75,"")</f>
        <v/>
      </c>
      <c r="AC25" s="251"/>
      <c r="AD25" s="251"/>
      <c r="AE25" s="251"/>
      <c r="AF25" s="251"/>
      <c r="AG25" s="251"/>
      <c r="AH25" s="251"/>
      <c r="AI25" s="251"/>
      <c r="AJ25" s="251"/>
      <c r="AK25" s="251"/>
      <c r="AL25" s="251"/>
      <c r="AM25" s="251"/>
      <c r="AN25" s="251"/>
      <c r="AO25" s="251"/>
      <c r="AP25" s="252"/>
    </row>
    <row r="26" spans="7:42" ht="17.100000000000001" customHeight="1" x14ac:dyDescent="0.2">
      <c r="G26" s="20">
        <v>13</v>
      </c>
      <c r="H26" s="20">
        <f>IF(G26&lt;=中間シート!$G$3,1,0)</f>
        <v>0</v>
      </c>
      <c r="J26" s="248" t="s">
        <v>119</v>
      </c>
      <c r="K26" s="248"/>
      <c r="L26" s="248"/>
      <c r="M26" s="248"/>
      <c r="N26" s="249" t="str">
        <f>IF(H26=1,中間シート!G76,"")</f>
        <v/>
      </c>
      <c r="O26" s="249"/>
      <c r="P26" s="249"/>
      <c r="Q26" s="249"/>
      <c r="R26" s="249"/>
      <c r="S26" s="249"/>
      <c r="T26" s="249"/>
      <c r="U26" s="249"/>
      <c r="V26" s="249"/>
      <c r="W26" s="249"/>
      <c r="X26" s="51" t="s">
        <v>93</v>
      </c>
      <c r="Y26" s="250" t="str">
        <f>IF(H26=1,IF(AND(中間シート!G77&lt;&gt;"",中間シート!H77&lt;&gt;""),中間シート!G77&amp;"-"&amp;中間シート!H77,""),"")</f>
        <v/>
      </c>
      <c r="Z26" s="250"/>
      <c r="AA26" s="250"/>
      <c r="AB26" s="251" t="str">
        <f>IF(H26=1,中間シート!G78&amp;中間シート!G79&amp;中間シート!G80&amp;中間シート!G81,"")</f>
        <v/>
      </c>
      <c r="AC26" s="251"/>
      <c r="AD26" s="251"/>
      <c r="AE26" s="251"/>
      <c r="AF26" s="251"/>
      <c r="AG26" s="251"/>
      <c r="AH26" s="251"/>
      <c r="AI26" s="251"/>
      <c r="AJ26" s="251"/>
      <c r="AK26" s="251"/>
      <c r="AL26" s="251"/>
      <c r="AM26" s="251"/>
      <c r="AN26" s="251"/>
      <c r="AO26" s="251"/>
      <c r="AP26" s="252"/>
    </row>
    <row r="27" spans="7:42" ht="17.100000000000001" customHeight="1" x14ac:dyDescent="0.2">
      <c r="G27" s="20">
        <v>14</v>
      </c>
      <c r="H27" s="20">
        <f>IF(G27&lt;=中間シート!$G$3,1,0)</f>
        <v>0</v>
      </c>
      <c r="J27" s="248" t="s">
        <v>120</v>
      </c>
      <c r="K27" s="248"/>
      <c r="L27" s="248"/>
      <c r="M27" s="248"/>
      <c r="N27" s="249" t="str">
        <f>IF(H27=1,中間シート!G82,"")</f>
        <v/>
      </c>
      <c r="O27" s="249"/>
      <c r="P27" s="249"/>
      <c r="Q27" s="249"/>
      <c r="R27" s="249"/>
      <c r="S27" s="249"/>
      <c r="T27" s="249"/>
      <c r="U27" s="249"/>
      <c r="V27" s="249"/>
      <c r="W27" s="249"/>
      <c r="X27" s="51" t="s">
        <v>93</v>
      </c>
      <c r="Y27" s="250" t="str">
        <f>IF(H27=1,IF(AND(中間シート!G83&lt;&gt;"",中間シート!H83&lt;&gt;""),中間シート!G83&amp;"-"&amp;中間シート!H83,""),"")</f>
        <v/>
      </c>
      <c r="Z27" s="250"/>
      <c r="AA27" s="250"/>
      <c r="AB27" s="251" t="str">
        <f>IF(H27=1,中間シート!G84&amp;中間シート!G85&amp;中間シート!G86&amp;中間シート!G87,"")</f>
        <v/>
      </c>
      <c r="AC27" s="251"/>
      <c r="AD27" s="251"/>
      <c r="AE27" s="251"/>
      <c r="AF27" s="251"/>
      <c r="AG27" s="251"/>
      <c r="AH27" s="251"/>
      <c r="AI27" s="251"/>
      <c r="AJ27" s="251"/>
      <c r="AK27" s="251"/>
      <c r="AL27" s="251"/>
      <c r="AM27" s="251"/>
      <c r="AN27" s="251"/>
      <c r="AO27" s="251"/>
      <c r="AP27" s="252"/>
    </row>
    <row r="28" spans="7:42" ht="17.100000000000001" customHeight="1" x14ac:dyDescent="0.2">
      <c r="G28" s="20">
        <v>15</v>
      </c>
      <c r="H28" s="20">
        <f>IF(G28&lt;=中間シート!$G$3,1,0)</f>
        <v>0</v>
      </c>
      <c r="J28" s="248" t="s">
        <v>121</v>
      </c>
      <c r="K28" s="248"/>
      <c r="L28" s="248"/>
      <c r="M28" s="248"/>
      <c r="N28" s="249" t="str">
        <f>IF(H28=1,中間シート!G88,"")</f>
        <v/>
      </c>
      <c r="O28" s="249"/>
      <c r="P28" s="249"/>
      <c r="Q28" s="249"/>
      <c r="R28" s="249"/>
      <c r="S28" s="249"/>
      <c r="T28" s="249"/>
      <c r="U28" s="249"/>
      <c r="V28" s="249"/>
      <c r="W28" s="249"/>
      <c r="X28" s="51" t="s">
        <v>93</v>
      </c>
      <c r="Y28" s="250" t="str">
        <f>IF(H28=1,IF(AND(中間シート!G89&lt;&gt;"",中間シート!H89&lt;&gt;""),中間シート!G89&amp;"-"&amp;中間シート!H89,""),"")</f>
        <v/>
      </c>
      <c r="Z28" s="250"/>
      <c r="AA28" s="250"/>
      <c r="AB28" s="251" t="str">
        <f>IF(H28=1,中間シート!G90&amp;中間シート!G91&amp;中間シート!G92&amp;中間シート!G93,"")</f>
        <v/>
      </c>
      <c r="AC28" s="251"/>
      <c r="AD28" s="251"/>
      <c r="AE28" s="251"/>
      <c r="AF28" s="251"/>
      <c r="AG28" s="251"/>
      <c r="AH28" s="251"/>
      <c r="AI28" s="251"/>
      <c r="AJ28" s="251"/>
      <c r="AK28" s="251"/>
      <c r="AL28" s="251"/>
      <c r="AM28" s="251"/>
      <c r="AN28" s="251"/>
      <c r="AO28" s="251"/>
      <c r="AP28" s="252"/>
    </row>
    <row r="29" spans="7:42" ht="17.100000000000001" customHeight="1" x14ac:dyDescent="0.2">
      <c r="G29" s="20">
        <v>16</v>
      </c>
      <c r="H29" s="20">
        <f>IF(G29&lt;=中間シート!$G$3,1,0)</f>
        <v>0</v>
      </c>
      <c r="J29" s="248" t="s">
        <v>122</v>
      </c>
      <c r="K29" s="248"/>
      <c r="L29" s="248"/>
      <c r="M29" s="248"/>
      <c r="N29" s="249" t="str">
        <f>IF(H29=1,中間シート!G94,"")</f>
        <v/>
      </c>
      <c r="O29" s="249"/>
      <c r="P29" s="249"/>
      <c r="Q29" s="249"/>
      <c r="R29" s="249"/>
      <c r="S29" s="249"/>
      <c r="T29" s="249"/>
      <c r="U29" s="249"/>
      <c r="V29" s="249"/>
      <c r="W29" s="249"/>
      <c r="X29" s="51" t="s">
        <v>93</v>
      </c>
      <c r="Y29" s="250" t="str">
        <f>IF(H29=1,IF(AND(中間シート!G95&lt;&gt;"",中間シート!H95&lt;&gt;""),中間シート!G95&amp;"-"&amp;中間シート!H95,""),"")</f>
        <v/>
      </c>
      <c r="Z29" s="250"/>
      <c r="AA29" s="250"/>
      <c r="AB29" s="251" t="str">
        <f>IF(H29=1,中間シート!G96&amp;中間シート!G97&amp;中間シート!G98&amp;中間シート!G99,"")</f>
        <v/>
      </c>
      <c r="AC29" s="251"/>
      <c r="AD29" s="251"/>
      <c r="AE29" s="251"/>
      <c r="AF29" s="251"/>
      <c r="AG29" s="251"/>
      <c r="AH29" s="251"/>
      <c r="AI29" s="251"/>
      <c r="AJ29" s="251"/>
      <c r="AK29" s="251"/>
      <c r="AL29" s="251"/>
      <c r="AM29" s="251"/>
      <c r="AN29" s="251"/>
      <c r="AO29" s="251"/>
      <c r="AP29" s="252"/>
    </row>
    <row r="30" spans="7:42" ht="17.100000000000001" customHeight="1" x14ac:dyDescent="0.2">
      <c r="G30" s="20">
        <v>17</v>
      </c>
      <c r="H30" s="20">
        <f>IF(G30&lt;=中間シート!$G$3,1,0)</f>
        <v>0</v>
      </c>
      <c r="J30" s="248" t="s">
        <v>123</v>
      </c>
      <c r="K30" s="248"/>
      <c r="L30" s="248"/>
      <c r="M30" s="248"/>
      <c r="N30" s="249" t="str">
        <f>IF(H30=1,中間シート!G100,"")</f>
        <v/>
      </c>
      <c r="O30" s="249"/>
      <c r="P30" s="249"/>
      <c r="Q30" s="249"/>
      <c r="R30" s="249"/>
      <c r="S30" s="249"/>
      <c r="T30" s="249"/>
      <c r="U30" s="249"/>
      <c r="V30" s="249"/>
      <c r="W30" s="249"/>
      <c r="X30" s="51" t="s">
        <v>93</v>
      </c>
      <c r="Y30" s="250" t="str">
        <f>IF(H30=1,IF(AND(中間シート!G101&lt;&gt;"",中間シート!H101&lt;&gt;""),中間シート!G101&amp;"-"&amp;中間シート!H101,""),"")</f>
        <v/>
      </c>
      <c r="Z30" s="250"/>
      <c r="AA30" s="250"/>
      <c r="AB30" s="251" t="str">
        <f>IF(H30=1,中間シート!G102&amp;中間シート!G103&amp;中間シート!G104&amp;中間シート!G105,"")</f>
        <v/>
      </c>
      <c r="AC30" s="251"/>
      <c r="AD30" s="251"/>
      <c r="AE30" s="251"/>
      <c r="AF30" s="251"/>
      <c r="AG30" s="251"/>
      <c r="AH30" s="251"/>
      <c r="AI30" s="251"/>
      <c r="AJ30" s="251"/>
      <c r="AK30" s="251"/>
      <c r="AL30" s="251"/>
      <c r="AM30" s="251"/>
      <c r="AN30" s="251"/>
      <c r="AO30" s="251"/>
      <c r="AP30" s="252"/>
    </row>
    <row r="31" spans="7:42" ht="17.100000000000001" customHeight="1" x14ac:dyDescent="0.2">
      <c r="G31" s="20">
        <v>18</v>
      </c>
      <c r="H31" s="20">
        <f>IF(G31&lt;=中間シート!$G$3,1,0)</f>
        <v>0</v>
      </c>
      <c r="J31" s="248" t="s">
        <v>124</v>
      </c>
      <c r="K31" s="248"/>
      <c r="L31" s="248"/>
      <c r="M31" s="248"/>
      <c r="N31" s="249" t="str">
        <f>IF(H31=1,中間シート!G106,"")</f>
        <v/>
      </c>
      <c r="O31" s="249"/>
      <c r="P31" s="249"/>
      <c r="Q31" s="249"/>
      <c r="R31" s="249"/>
      <c r="S31" s="249"/>
      <c r="T31" s="249"/>
      <c r="U31" s="249"/>
      <c r="V31" s="249"/>
      <c r="W31" s="249"/>
      <c r="X31" s="51" t="s">
        <v>93</v>
      </c>
      <c r="Y31" s="250" t="str">
        <f>IF(H31=1,IF(AND(中間シート!G107&lt;&gt;"",中間シート!H107&lt;&gt;""),中間シート!G107&amp;"-"&amp;中間シート!H107,""),"")</f>
        <v/>
      </c>
      <c r="Z31" s="250"/>
      <c r="AA31" s="250"/>
      <c r="AB31" s="251" t="str">
        <f>IF(H31=1,中間シート!G108&amp;中間シート!G109&amp;中間シート!G110&amp;中間シート!G111,"")</f>
        <v/>
      </c>
      <c r="AC31" s="251"/>
      <c r="AD31" s="251"/>
      <c r="AE31" s="251"/>
      <c r="AF31" s="251"/>
      <c r="AG31" s="251"/>
      <c r="AH31" s="251"/>
      <c r="AI31" s="251"/>
      <c r="AJ31" s="251"/>
      <c r="AK31" s="251"/>
      <c r="AL31" s="251"/>
      <c r="AM31" s="251"/>
      <c r="AN31" s="251"/>
      <c r="AO31" s="251"/>
      <c r="AP31" s="252"/>
    </row>
    <row r="32" spans="7:42" ht="17.100000000000001" customHeight="1" x14ac:dyDescent="0.2">
      <c r="G32" s="20">
        <v>19</v>
      </c>
      <c r="H32" s="20">
        <f>IF(G32&lt;=中間シート!$G$3,1,0)</f>
        <v>0</v>
      </c>
      <c r="J32" s="248" t="s">
        <v>125</v>
      </c>
      <c r="K32" s="248"/>
      <c r="L32" s="248"/>
      <c r="M32" s="248"/>
      <c r="N32" s="249" t="str">
        <f>IF(H32=1,中間シート!G112,"")</f>
        <v/>
      </c>
      <c r="O32" s="249"/>
      <c r="P32" s="249"/>
      <c r="Q32" s="249"/>
      <c r="R32" s="249"/>
      <c r="S32" s="249"/>
      <c r="T32" s="249"/>
      <c r="U32" s="249"/>
      <c r="V32" s="249"/>
      <c r="W32" s="249"/>
      <c r="X32" s="51" t="s">
        <v>93</v>
      </c>
      <c r="Y32" s="250" t="str">
        <f>IF(H32=1,IF(AND(中間シート!G113&lt;&gt;"",中間シート!H113&lt;&gt;""),中間シート!G113&amp;"-"&amp;中間シート!H113,""),"")</f>
        <v/>
      </c>
      <c r="Z32" s="250"/>
      <c r="AA32" s="250"/>
      <c r="AB32" s="251" t="str">
        <f>IF(H32=1,中間シート!G114&amp;中間シート!G115&amp;中間シート!G116&amp;中間シート!G117,"")</f>
        <v/>
      </c>
      <c r="AC32" s="251"/>
      <c r="AD32" s="251"/>
      <c r="AE32" s="251"/>
      <c r="AF32" s="251"/>
      <c r="AG32" s="251"/>
      <c r="AH32" s="251"/>
      <c r="AI32" s="251"/>
      <c r="AJ32" s="251"/>
      <c r="AK32" s="251"/>
      <c r="AL32" s="251"/>
      <c r="AM32" s="251"/>
      <c r="AN32" s="251"/>
      <c r="AO32" s="251"/>
      <c r="AP32" s="252"/>
    </row>
    <row r="33" spans="1:42" ht="17.100000000000001" customHeight="1" x14ac:dyDescent="0.2">
      <c r="G33" s="20">
        <v>20</v>
      </c>
      <c r="H33" s="20">
        <f>IF(G33&lt;=中間シート!$G$3,1,0)</f>
        <v>0</v>
      </c>
      <c r="J33" s="248" t="s">
        <v>126</v>
      </c>
      <c r="K33" s="248"/>
      <c r="L33" s="248"/>
      <c r="M33" s="248"/>
      <c r="N33" s="249" t="str">
        <f>IF(H33=1,中間シート!G118,"")</f>
        <v/>
      </c>
      <c r="O33" s="249"/>
      <c r="P33" s="249"/>
      <c r="Q33" s="249"/>
      <c r="R33" s="249"/>
      <c r="S33" s="249"/>
      <c r="T33" s="249"/>
      <c r="U33" s="249"/>
      <c r="V33" s="249"/>
      <c r="W33" s="249"/>
      <c r="X33" s="51" t="s">
        <v>93</v>
      </c>
      <c r="Y33" s="250" t="str">
        <f>IF(H33=1,IF(AND(中間シート!G119&lt;&gt;"",中間シート!H119&lt;&gt;""),中間シート!G119&amp;"-"&amp;中間シート!H119,""),"")</f>
        <v/>
      </c>
      <c r="Z33" s="250"/>
      <c r="AA33" s="250"/>
      <c r="AB33" s="251" t="str">
        <f>IF(H33=1,中間シート!G120&amp;中間シート!G121&amp;中間シート!G122&amp;中間シート!G123,"")</f>
        <v/>
      </c>
      <c r="AC33" s="251"/>
      <c r="AD33" s="251"/>
      <c r="AE33" s="251"/>
      <c r="AF33" s="251"/>
      <c r="AG33" s="251"/>
      <c r="AH33" s="251"/>
      <c r="AI33" s="251"/>
      <c r="AJ33" s="251"/>
      <c r="AK33" s="251"/>
      <c r="AL33" s="251"/>
      <c r="AM33" s="251"/>
      <c r="AN33" s="251"/>
      <c r="AO33" s="251"/>
      <c r="AP33" s="252"/>
    </row>
    <row r="34" spans="1:42" ht="17.100000000000001" customHeight="1" x14ac:dyDescent="0.2">
      <c r="G34" s="20">
        <v>21</v>
      </c>
      <c r="H34" s="20">
        <f>IF(G34&lt;=中間シート!$G$3,1,0)</f>
        <v>0</v>
      </c>
      <c r="J34" s="248" t="s">
        <v>127</v>
      </c>
      <c r="K34" s="248"/>
      <c r="L34" s="248"/>
      <c r="M34" s="248"/>
      <c r="N34" s="249" t="str">
        <f>IF(H34=1,中間シート!G124,"")</f>
        <v/>
      </c>
      <c r="O34" s="249"/>
      <c r="P34" s="249"/>
      <c r="Q34" s="249"/>
      <c r="R34" s="249"/>
      <c r="S34" s="249"/>
      <c r="T34" s="249"/>
      <c r="U34" s="249"/>
      <c r="V34" s="249"/>
      <c r="W34" s="249"/>
      <c r="X34" s="51" t="s">
        <v>93</v>
      </c>
      <c r="Y34" s="250" t="str">
        <f>IF(H34=1,IF(AND(中間シート!G125&lt;&gt;"",中間シート!H125&lt;&gt;""),中間シート!G125&amp;"-"&amp;中間シート!H125,""),"")</f>
        <v/>
      </c>
      <c r="Z34" s="250"/>
      <c r="AA34" s="250"/>
      <c r="AB34" s="251" t="str">
        <f>IF(H34=1,中間シート!G126&amp;中間シート!G127&amp;中間シート!G128&amp;中間シート!G129,"")</f>
        <v/>
      </c>
      <c r="AC34" s="251"/>
      <c r="AD34" s="251"/>
      <c r="AE34" s="251"/>
      <c r="AF34" s="251"/>
      <c r="AG34" s="251"/>
      <c r="AH34" s="251"/>
      <c r="AI34" s="251"/>
      <c r="AJ34" s="251"/>
      <c r="AK34" s="251"/>
      <c r="AL34" s="251"/>
      <c r="AM34" s="251"/>
      <c r="AN34" s="251"/>
      <c r="AO34" s="251"/>
      <c r="AP34" s="252"/>
    </row>
    <row r="35" spans="1:42" ht="17.100000000000001" customHeight="1" x14ac:dyDescent="0.2">
      <c r="G35" s="20">
        <v>22</v>
      </c>
      <c r="H35" s="20">
        <f>IF(G35&lt;=中間シート!$G$3,1,0)</f>
        <v>0</v>
      </c>
      <c r="J35" s="248" t="s">
        <v>128</v>
      </c>
      <c r="K35" s="248"/>
      <c r="L35" s="248"/>
      <c r="M35" s="248"/>
      <c r="N35" s="249" t="str">
        <f>IF(H35=1,中間シート!G130,"")</f>
        <v/>
      </c>
      <c r="O35" s="249"/>
      <c r="P35" s="249"/>
      <c r="Q35" s="249"/>
      <c r="R35" s="249"/>
      <c r="S35" s="249"/>
      <c r="T35" s="249"/>
      <c r="U35" s="249"/>
      <c r="V35" s="249"/>
      <c r="W35" s="249"/>
      <c r="X35" s="51" t="s">
        <v>93</v>
      </c>
      <c r="Y35" s="250" t="str">
        <f>IF(H35=1,IF(AND(中間シート!G131&lt;&gt;"",中間シート!H131&lt;&gt;""),中間シート!G131&amp;"-"&amp;中間シート!H131,""),"")</f>
        <v/>
      </c>
      <c r="Z35" s="250"/>
      <c r="AA35" s="250"/>
      <c r="AB35" s="251" t="str">
        <f>IF(H35=1,中間シート!G132&amp;中間シート!G133&amp;中間シート!G134&amp;中間シート!G135,"")</f>
        <v/>
      </c>
      <c r="AC35" s="251"/>
      <c r="AD35" s="251"/>
      <c r="AE35" s="251"/>
      <c r="AF35" s="251"/>
      <c r="AG35" s="251"/>
      <c r="AH35" s="251"/>
      <c r="AI35" s="251"/>
      <c r="AJ35" s="251"/>
      <c r="AK35" s="251"/>
      <c r="AL35" s="251"/>
      <c r="AM35" s="251"/>
      <c r="AN35" s="251"/>
      <c r="AO35" s="251"/>
      <c r="AP35" s="252"/>
    </row>
    <row r="36" spans="1:42" ht="17.100000000000001" customHeight="1" x14ac:dyDescent="0.2">
      <c r="G36" s="20">
        <v>23</v>
      </c>
      <c r="H36" s="20">
        <f>IF(G36&lt;=中間シート!$G$3,1,0)</f>
        <v>0</v>
      </c>
      <c r="J36" s="248" t="s">
        <v>129</v>
      </c>
      <c r="K36" s="248"/>
      <c r="L36" s="248"/>
      <c r="M36" s="248"/>
      <c r="N36" s="249" t="str">
        <f>IF(H36=1,中間シート!G136,"")</f>
        <v/>
      </c>
      <c r="O36" s="249"/>
      <c r="P36" s="249"/>
      <c r="Q36" s="249"/>
      <c r="R36" s="249"/>
      <c r="S36" s="249"/>
      <c r="T36" s="249"/>
      <c r="U36" s="249"/>
      <c r="V36" s="249"/>
      <c r="W36" s="249"/>
      <c r="X36" s="51" t="s">
        <v>93</v>
      </c>
      <c r="Y36" s="250" t="str">
        <f>IF(H36=1,IF(AND(中間シート!G137&lt;&gt;"",中間シート!H137&lt;&gt;""),中間シート!G137&amp;"-"&amp;中間シート!H137,""),"")</f>
        <v/>
      </c>
      <c r="Z36" s="250"/>
      <c r="AA36" s="250"/>
      <c r="AB36" s="251" t="str">
        <f>IF(H36=1,中間シート!G138&amp;中間シート!G139&amp;中間シート!G140&amp;中間シート!G141,"")</f>
        <v/>
      </c>
      <c r="AC36" s="251"/>
      <c r="AD36" s="251"/>
      <c r="AE36" s="251"/>
      <c r="AF36" s="251"/>
      <c r="AG36" s="251"/>
      <c r="AH36" s="251"/>
      <c r="AI36" s="251"/>
      <c r="AJ36" s="251"/>
      <c r="AK36" s="251"/>
      <c r="AL36" s="251"/>
      <c r="AM36" s="251"/>
      <c r="AN36" s="251"/>
      <c r="AO36" s="251"/>
      <c r="AP36" s="252"/>
    </row>
    <row r="37" spans="1:42" ht="17.100000000000001" customHeight="1" x14ac:dyDescent="0.2">
      <c r="G37" s="20">
        <v>24</v>
      </c>
      <c r="H37" s="20">
        <f>IF(G37&lt;=中間シート!$G$3,1,0)</f>
        <v>0</v>
      </c>
      <c r="J37" s="248" t="s">
        <v>130</v>
      </c>
      <c r="K37" s="248"/>
      <c r="L37" s="248"/>
      <c r="M37" s="248"/>
      <c r="N37" s="249" t="str">
        <f>IF(H37=1,中間シート!G142,"")</f>
        <v/>
      </c>
      <c r="O37" s="249"/>
      <c r="P37" s="249"/>
      <c r="Q37" s="249"/>
      <c r="R37" s="249"/>
      <c r="S37" s="249"/>
      <c r="T37" s="249"/>
      <c r="U37" s="249"/>
      <c r="V37" s="249"/>
      <c r="W37" s="249"/>
      <c r="X37" s="51" t="s">
        <v>93</v>
      </c>
      <c r="Y37" s="250" t="str">
        <f>IF(H37=1,IF(AND(中間シート!G143&lt;&gt;"",中間シート!H143&lt;&gt;""),中間シート!G143&amp;"-"&amp;中間シート!H143,""),"")</f>
        <v/>
      </c>
      <c r="Z37" s="250"/>
      <c r="AA37" s="250"/>
      <c r="AB37" s="251" t="str">
        <f>IF(H37=1,中間シート!G144&amp;中間シート!G145&amp;中間シート!G146&amp;中間シート!G147,"")</f>
        <v/>
      </c>
      <c r="AC37" s="251"/>
      <c r="AD37" s="251"/>
      <c r="AE37" s="251"/>
      <c r="AF37" s="251"/>
      <c r="AG37" s="251"/>
      <c r="AH37" s="251"/>
      <c r="AI37" s="251"/>
      <c r="AJ37" s="251"/>
      <c r="AK37" s="251"/>
      <c r="AL37" s="251"/>
      <c r="AM37" s="251"/>
      <c r="AN37" s="251"/>
      <c r="AO37" s="251"/>
      <c r="AP37" s="252"/>
    </row>
    <row r="38" spans="1:42" ht="17.100000000000001" customHeight="1" x14ac:dyDescent="0.2">
      <c r="G38" s="20">
        <v>25</v>
      </c>
      <c r="H38" s="20">
        <f>IF(G38&lt;=中間シート!$G$3,1,0)</f>
        <v>0</v>
      </c>
      <c r="J38" s="248" t="s">
        <v>131</v>
      </c>
      <c r="K38" s="248"/>
      <c r="L38" s="248"/>
      <c r="M38" s="248"/>
      <c r="N38" s="249" t="str">
        <f>IF(H38=1,中間シート!G148,"")</f>
        <v/>
      </c>
      <c r="O38" s="249"/>
      <c r="P38" s="249"/>
      <c r="Q38" s="249"/>
      <c r="R38" s="249"/>
      <c r="S38" s="249"/>
      <c r="T38" s="249"/>
      <c r="U38" s="249"/>
      <c r="V38" s="249"/>
      <c r="W38" s="249"/>
      <c r="X38" s="51" t="s">
        <v>93</v>
      </c>
      <c r="Y38" s="250" t="str">
        <f>IF(H38=1,IF(AND(中間シート!G149&lt;&gt;"",中間シート!H149&lt;&gt;""),中間シート!G149&amp;"-"&amp;中間シート!H149,""),"")</f>
        <v/>
      </c>
      <c r="Z38" s="250"/>
      <c r="AA38" s="250"/>
      <c r="AB38" s="251" t="str">
        <f>IF(H38=1,中間シート!G150&amp;中間シート!G151&amp;中間シート!G152&amp;中間シート!G153,"")</f>
        <v/>
      </c>
      <c r="AC38" s="251"/>
      <c r="AD38" s="251"/>
      <c r="AE38" s="251"/>
      <c r="AF38" s="251"/>
      <c r="AG38" s="251"/>
      <c r="AH38" s="251"/>
      <c r="AI38" s="251"/>
      <c r="AJ38" s="251"/>
      <c r="AK38" s="251"/>
      <c r="AL38" s="251"/>
      <c r="AM38" s="251"/>
      <c r="AN38" s="251"/>
      <c r="AO38" s="251"/>
      <c r="AP38" s="252"/>
    </row>
    <row r="39" spans="1:42" ht="17.100000000000001" customHeight="1" x14ac:dyDescent="0.2">
      <c r="G39" s="20">
        <v>26</v>
      </c>
      <c r="H39" s="20">
        <f>IF(G39&lt;=中間シート!$G$3,1,0)</f>
        <v>0</v>
      </c>
      <c r="J39" s="248" t="s">
        <v>132</v>
      </c>
      <c r="K39" s="248"/>
      <c r="L39" s="248"/>
      <c r="M39" s="248"/>
      <c r="N39" s="249" t="str">
        <f>IF(H39=1,中間シート!G154,"")</f>
        <v/>
      </c>
      <c r="O39" s="249"/>
      <c r="P39" s="249"/>
      <c r="Q39" s="249"/>
      <c r="R39" s="249"/>
      <c r="S39" s="249"/>
      <c r="T39" s="249"/>
      <c r="U39" s="249"/>
      <c r="V39" s="249"/>
      <c r="W39" s="249"/>
      <c r="X39" s="51" t="s">
        <v>93</v>
      </c>
      <c r="Y39" s="250" t="str">
        <f>IF(H39=1,IF(AND(中間シート!G155&lt;&gt;"",中間シート!H155&lt;&gt;""),中間シート!G155&amp;"-"&amp;中間シート!H155,""),"")</f>
        <v/>
      </c>
      <c r="Z39" s="250"/>
      <c r="AA39" s="250"/>
      <c r="AB39" s="251" t="str">
        <f>IF(H39=1,中間シート!G156&amp;中間シート!G157&amp;中間シート!G158&amp;中間シート!G159,"")</f>
        <v/>
      </c>
      <c r="AC39" s="251"/>
      <c r="AD39" s="251"/>
      <c r="AE39" s="251"/>
      <c r="AF39" s="251"/>
      <c r="AG39" s="251"/>
      <c r="AH39" s="251"/>
      <c r="AI39" s="251"/>
      <c r="AJ39" s="251"/>
      <c r="AK39" s="251"/>
      <c r="AL39" s="251"/>
      <c r="AM39" s="251"/>
      <c r="AN39" s="251"/>
      <c r="AO39" s="251"/>
      <c r="AP39" s="252"/>
    </row>
    <row r="40" spans="1:42" ht="17.100000000000001" customHeight="1" x14ac:dyDescent="0.2">
      <c r="G40" s="20">
        <v>27</v>
      </c>
      <c r="H40" s="20">
        <f>IF(G40&lt;=中間シート!$G$3,1,0)</f>
        <v>0</v>
      </c>
      <c r="J40" s="248" t="s">
        <v>133</v>
      </c>
      <c r="K40" s="248"/>
      <c r="L40" s="248"/>
      <c r="M40" s="248"/>
      <c r="N40" s="249" t="str">
        <f>IF(H40=1,中間シート!G160,"")</f>
        <v/>
      </c>
      <c r="O40" s="249"/>
      <c r="P40" s="249"/>
      <c r="Q40" s="249"/>
      <c r="R40" s="249"/>
      <c r="S40" s="249"/>
      <c r="T40" s="249"/>
      <c r="U40" s="249"/>
      <c r="V40" s="249"/>
      <c r="W40" s="249"/>
      <c r="X40" s="51" t="s">
        <v>93</v>
      </c>
      <c r="Y40" s="250" t="str">
        <f>IF(H40=1,IF(AND(中間シート!G161&lt;&gt;"",中間シート!H161&lt;&gt;""),中間シート!G161&amp;"-"&amp;中間シート!H161,""),"")</f>
        <v/>
      </c>
      <c r="Z40" s="250"/>
      <c r="AA40" s="250"/>
      <c r="AB40" s="251" t="str">
        <f>IF(H40=1,中間シート!G162&amp;中間シート!G163&amp;中間シート!G164&amp;中間シート!G165,"")</f>
        <v/>
      </c>
      <c r="AC40" s="251"/>
      <c r="AD40" s="251"/>
      <c r="AE40" s="251"/>
      <c r="AF40" s="251"/>
      <c r="AG40" s="251"/>
      <c r="AH40" s="251"/>
      <c r="AI40" s="251"/>
      <c r="AJ40" s="251"/>
      <c r="AK40" s="251"/>
      <c r="AL40" s="251"/>
      <c r="AM40" s="251"/>
      <c r="AN40" s="251"/>
      <c r="AO40" s="251"/>
      <c r="AP40" s="252"/>
    </row>
    <row r="41" spans="1:42" ht="17.100000000000001" customHeight="1" x14ac:dyDescent="0.2">
      <c r="G41" s="20">
        <v>28</v>
      </c>
      <c r="H41" s="20">
        <f>IF(G41&lt;=中間シート!$G$3,1,0)</f>
        <v>0</v>
      </c>
      <c r="J41" s="248" t="s">
        <v>134</v>
      </c>
      <c r="K41" s="248"/>
      <c r="L41" s="248"/>
      <c r="M41" s="248"/>
      <c r="N41" s="249" t="str">
        <f>IF(H41=1,中間シート!G166,"")</f>
        <v/>
      </c>
      <c r="O41" s="249"/>
      <c r="P41" s="249"/>
      <c r="Q41" s="249"/>
      <c r="R41" s="249"/>
      <c r="S41" s="249"/>
      <c r="T41" s="249"/>
      <c r="U41" s="249"/>
      <c r="V41" s="249"/>
      <c r="W41" s="249"/>
      <c r="X41" s="51" t="s">
        <v>93</v>
      </c>
      <c r="Y41" s="250" t="str">
        <f>IF(H41=1,IF(AND(中間シート!G167&lt;&gt;"",中間シート!H167&lt;&gt;""),中間シート!G167&amp;"-"&amp;中間シート!H167,""),"")</f>
        <v/>
      </c>
      <c r="Z41" s="250"/>
      <c r="AA41" s="250"/>
      <c r="AB41" s="251" t="str">
        <f>IF(H41=1,中間シート!G168&amp;中間シート!G169&amp;中間シート!G170&amp;中間シート!G171,"")</f>
        <v/>
      </c>
      <c r="AC41" s="251"/>
      <c r="AD41" s="251"/>
      <c r="AE41" s="251"/>
      <c r="AF41" s="251"/>
      <c r="AG41" s="251"/>
      <c r="AH41" s="251"/>
      <c r="AI41" s="251"/>
      <c r="AJ41" s="251"/>
      <c r="AK41" s="251"/>
      <c r="AL41" s="251"/>
      <c r="AM41" s="251"/>
      <c r="AN41" s="251"/>
      <c r="AO41" s="251"/>
      <c r="AP41" s="252"/>
    </row>
    <row r="42" spans="1:42" ht="17.100000000000001" customHeight="1" x14ac:dyDescent="0.2">
      <c r="G42" s="20">
        <v>29</v>
      </c>
      <c r="H42" s="20">
        <f>IF(G42&lt;=中間シート!$G$3,1,0)</f>
        <v>0</v>
      </c>
      <c r="J42" s="248" t="s">
        <v>135</v>
      </c>
      <c r="K42" s="248"/>
      <c r="L42" s="248"/>
      <c r="M42" s="248"/>
      <c r="N42" s="249" t="str">
        <f>IF(H42=1,中間シート!G172,"")</f>
        <v/>
      </c>
      <c r="O42" s="249"/>
      <c r="P42" s="249"/>
      <c r="Q42" s="249"/>
      <c r="R42" s="249"/>
      <c r="S42" s="249"/>
      <c r="T42" s="249"/>
      <c r="U42" s="249"/>
      <c r="V42" s="249"/>
      <c r="W42" s="249"/>
      <c r="X42" s="51" t="s">
        <v>93</v>
      </c>
      <c r="Y42" s="250" t="str">
        <f>IF(H42=1,IF(AND(中間シート!G173&lt;&gt;"",中間シート!H173&lt;&gt;""),中間シート!G173&amp;"-"&amp;中間シート!H173,""),"")</f>
        <v/>
      </c>
      <c r="Z42" s="250"/>
      <c r="AA42" s="250"/>
      <c r="AB42" s="251" t="str">
        <f>IF(H42=1,中間シート!G174&amp;中間シート!G175&amp;中間シート!G176&amp;中間シート!G177,"")</f>
        <v/>
      </c>
      <c r="AC42" s="251"/>
      <c r="AD42" s="251"/>
      <c r="AE42" s="251"/>
      <c r="AF42" s="251"/>
      <c r="AG42" s="251"/>
      <c r="AH42" s="251"/>
      <c r="AI42" s="251"/>
      <c r="AJ42" s="251"/>
      <c r="AK42" s="251"/>
      <c r="AL42" s="251"/>
      <c r="AM42" s="251"/>
      <c r="AN42" s="251"/>
      <c r="AO42" s="251"/>
      <c r="AP42" s="252"/>
    </row>
    <row r="43" spans="1:42" ht="17.100000000000001" customHeight="1" x14ac:dyDescent="0.2">
      <c r="G43" s="20">
        <v>30</v>
      </c>
      <c r="H43" s="20">
        <f>IF(G43&lt;=中間シート!$G$3,1,0)</f>
        <v>0</v>
      </c>
      <c r="J43" s="248" t="s">
        <v>136</v>
      </c>
      <c r="K43" s="248"/>
      <c r="L43" s="248"/>
      <c r="M43" s="248"/>
      <c r="N43" s="249" t="str">
        <f>IF(H43=1,中間シート!G178,"")</f>
        <v/>
      </c>
      <c r="O43" s="249"/>
      <c r="P43" s="249"/>
      <c r="Q43" s="249"/>
      <c r="R43" s="249"/>
      <c r="S43" s="249"/>
      <c r="T43" s="249"/>
      <c r="U43" s="249"/>
      <c r="V43" s="249"/>
      <c r="W43" s="249"/>
      <c r="X43" s="51" t="s">
        <v>93</v>
      </c>
      <c r="Y43" s="250" t="str">
        <f>IF(H43=1,IF(AND(中間シート!G179&lt;&gt;"",中間シート!H179&lt;&gt;""),中間シート!G179&amp;"-"&amp;中間シート!H179,""),"")</f>
        <v/>
      </c>
      <c r="Z43" s="250"/>
      <c r="AA43" s="250"/>
      <c r="AB43" s="251" t="str">
        <f>IF(H43=1,中間シート!G180&amp;中間シート!G181&amp;中間シート!G182&amp;中間シート!G183,"")</f>
        <v/>
      </c>
      <c r="AC43" s="251"/>
      <c r="AD43" s="251"/>
      <c r="AE43" s="251"/>
      <c r="AF43" s="251"/>
      <c r="AG43" s="251"/>
      <c r="AH43" s="251"/>
      <c r="AI43" s="251"/>
      <c r="AJ43" s="251"/>
      <c r="AK43" s="251"/>
      <c r="AL43" s="251"/>
      <c r="AM43" s="251"/>
      <c r="AN43" s="251"/>
      <c r="AO43" s="251"/>
      <c r="AP43" s="252"/>
    </row>
    <row r="45" spans="1:42" x14ac:dyDescent="0.2">
      <c r="J45" s="23" t="s">
        <v>307</v>
      </c>
    </row>
    <row r="46" spans="1:42" ht="16.5" customHeight="1" x14ac:dyDescent="0.2">
      <c r="A46" s="20" t="s">
        <v>95</v>
      </c>
      <c r="B46" s="20" t="s">
        <v>96</v>
      </c>
      <c r="C46" s="20" t="s">
        <v>97</v>
      </c>
      <c r="D46" s="20" t="s">
        <v>98</v>
      </c>
      <c r="E46" s="20">
        <v>1</v>
      </c>
      <c r="F46" s="20">
        <v>2</v>
      </c>
      <c r="G46" s="20">
        <v>3</v>
      </c>
      <c r="H46" s="20">
        <v>4</v>
      </c>
      <c r="J46" s="248" t="s">
        <v>99</v>
      </c>
      <c r="K46" s="248"/>
      <c r="L46" s="248"/>
      <c r="M46" s="248"/>
      <c r="N46" s="267" t="s">
        <v>515</v>
      </c>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9"/>
    </row>
    <row r="47" spans="1:42" ht="16.5" customHeight="1" x14ac:dyDescent="0.2">
      <c r="A47" s="20">
        <f>中間シート!AI187</f>
        <v>9999</v>
      </c>
      <c r="B47" s="20" t="str">
        <f>中間シート!AK187</f>
        <v>事業場99</v>
      </c>
      <c r="C47" s="20" t="e">
        <f>中間シート!AJ187</f>
        <v>#N/A</v>
      </c>
      <c r="D47" s="20" t="str">
        <f>VLOOKUP($A47,中間シート!$D$187:$K$276,4)</f>
        <v/>
      </c>
      <c r="E47" s="20" t="str">
        <f>VLOOKUP($A47,中間シート!$D$187:$K$276,5)</f>
        <v/>
      </c>
      <c r="F47" s="20" t="str">
        <f>VLOOKUP($A47,中間シート!$D$187:$K$276,6)</f>
        <v/>
      </c>
      <c r="G47" s="20" t="str">
        <f>VLOOKUP($A47,中間シート!$D$187:$K$276,7)</f>
        <v/>
      </c>
      <c r="H47" s="20" t="str">
        <f>VLOOKUP($A47,中間シート!$D$187:$K$276,8)</f>
        <v/>
      </c>
      <c r="J47" s="248" t="s">
        <v>92</v>
      </c>
      <c r="K47" s="248"/>
      <c r="L47" s="248"/>
      <c r="M47" s="248"/>
      <c r="N47" s="260" t="str">
        <f>IF($A47&lt;&gt;9999,IF($C47=2,VLOOKUP($A47,中間シート!$D$187:$T$276,14,FALSE),VLOOKUP($A47,中間シート!$D$187:$T$276,9,FALSE)),"")</f>
        <v/>
      </c>
      <c r="O47" s="261"/>
      <c r="P47" s="261"/>
      <c r="Q47" s="261"/>
      <c r="R47" s="261"/>
      <c r="S47" s="261"/>
      <c r="T47" s="262"/>
      <c r="U47" s="258" t="s">
        <v>516</v>
      </c>
      <c r="V47" s="259"/>
      <c r="W47" s="260" t="str">
        <f>IF($A47&lt;&gt;9999,IF($C47=2,VLOOKUP($A47,中間シート!$D$187:$T$276,15,FALSE),VLOOKUP($A47,中間シート!$D$187:$T$276,10,FALSE)),"")</f>
        <v/>
      </c>
      <c r="X47" s="261"/>
      <c r="Y47" s="261"/>
      <c r="Z47" s="261"/>
      <c r="AA47" s="261"/>
      <c r="AB47" s="261"/>
      <c r="AC47" s="262"/>
      <c r="AD47" s="258" t="s">
        <v>516</v>
      </c>
      <c r="AE47" s="259"/>
      <c r="AF47" s="75" t="str">
        <f>IF($A47&lt;&gt;9999,IF($C47=2,VLOOKUP($A47,中間シート!$D$187:$T$276,16,FALSE),VLOOKUP($A47,中間シート!$D$187:$T$276,11,FALSE)),"")</f>
        <v/>
      </c>
      <c r="AG47" s="70"/>
      <c r="AH47" s="70"/>
      <c r="AI47" s="70"/>
      <c r="AJ47" s="70"/>
      <c r="AK47" s="71"/>
    </row>
    <row r="48" spans="1:42" ht="16.5" customHeight="1" x14ac:dyDescent="0.2">
      <c r="A48" s="20">
        <f>中間シート!AI188</f>
        <v>9999</v>
      </c>
      <c r="B48" s="20" t="str">
        <f>中間シート!AK188</f>
        <v>事業場99</v>
      </c>
      <c r="C48" s="20" t="e">
        <f>中間シート!AJ188</f>
        <v>#N/A</v>
      </c>
      <c r="D48" s="20" t="str">
        <f>VLOOKUP($A48,中間シート!$D$187:$K$276,4)</f>
        <v/>
      </c>
      <c r="E48" s="20" t="str">
        <f>VLOOKUP($A48,中間シート!$D$187:$K$276,5)</f>
        <v/>
      </c>
      <c r="F48" s="20" t="str">
        <f>VLOOKUP($A48,中間シート!$D$187:$K$276,6)</f>
        <v/>
      </c>
      <c r="G48" s="20" t="str">
        <f>VLOOKUP($A48,中間シート!$D$187:$K$276,7)</f>
        <v/>
      </c>
      <c r="H48" s="20" t="str">
        <f>VLOOKUP($A48,中間シート!$D$187:$K$276,8)</f>
        <v/>
      </c>
      <c r="J48" s="248" t="str">
        <f>IF(B48="事業場99","事業場2",B48)</f>
        <v>事業場2</v>
      </c>
      <c r="K48" s="248"/>
      <c r="L48" s="248"/>
      <c r="M48" s="248"/>
      <c r="N48" s="260" t="str">
        <f>IF($A48&lt;&gt;9999,IF($C48=2,VLOOKUP($A48,中間シート!$D$187:$T$276,14,FALSE),VLOOKUP($A48,中間シート!$D$187:$T$276,9,FALSE)),"")</f>
        <v/>
      </c>
      <c r="O48" s="261"/>
      <c r="P48" s="261"/>
      <c r="Q48" s="261"/>
      <c r="R48" s="261"/>
      <c r="S48" s="261"/>
      <c r="T48" s="262"/>
      <c r="U48" s="258" t="s">
        <v>516</v>
      </c>
      <c r="V48" s="259"/>
      <c r="W48" s="260" t="str">
        <f>IF($A48&lt;&gt;9999,IF($C48=2,VLOOKUP($A48,中間シート!$D$187:$T$276,15,FALSE),VLOOKUP($A48,中間シート!$D$187:$T$276,10,FALSE)),"")</f>
        <v/>
      </c>
      <c r="X48" s="261"/>
      <c r="Y48" s="261"/>
      <c r="Z48" s="261"/>
      <c r="AA48" s="261"/>
      <c r="AB48" s="261"/>
      <c r="AC48" s="262"/>
      <c r="AD48" s="258" t="s">
        <v>516</v>
      </c>
      <c r="AE48" s="259"/>
      <c r="AF48" s="75" t="str">
        <f>IF($A48&lt;&gt;9999,IF($C48=2,VLOOKUP($A48,中間シート!$D$187:$T$276,16,FALSE),VLOOKUP($A48,中間シート!$D$187:$T$276,11,FALSE)),"")</f>
        <v/>
      </c>
      <c r="AG48" s="70"/>
      <c r="AH48" s="70"/>
      <c r="AI48" s="70"/>
      <c r="AJ48" s="70"/>
      <c r="AK48" s="71"/>
    </row>
    <row r="49" spans="1:37" ht="16.5" customHeight="1" x14ac:dyDescent="0.2">
      <c r="A49" s="20">
        <f>中間シート!AI189</f>
        <v>9999</v>
      </c>
      <c r="B49" s="20" t="str">
        <f>中間シート!AK189</f>
        <v>事業場99</v>
      </c>
      <c r="C49" s="20" t="e">
        <f>中間シート!AJ189</f>
        <v>#N/A</v>
      </c>
      <c r="D49" s="20" t="str">
        <f>VLOOKUP($A49,中間シート!$D$187:$K$276,4)</f>
        <v/>
      </c>
      <c r="E49" s="20" t="str">
        <f>VLOOKUP($A49,中間シート!$D$187:$K$276,5)</f>
        <v/>
      </c>
      <c r="F49" s="20" t="str">
        <f>VLOOKUP($A49,中間シート!$D$187:$K$276,6)</f>
        <v/>
      </c>
      <c r="G49" s="20" t="str">
        <f>VLOOKUP($A49,中間シート!$D$187:$K$276,7)</f>
        <v/>
      </c>
      <c r="H49" s="20" t="str">
        <f>VLOOKUP($A49,中間シート!$D$187:$K$276,8)</f>
        <v/>
      </c>
      <c r="J49" s="248" t="str">
        <f>IF(B49="事業場99","",B49)</f>
        <v/>
      </c>
      <c r="K49" s="248"/>
      <c r="L49" s="248"/>
      <c r="M49" s="248"/>
      <c r="N49" s="260" t="str">
        <f>IF($A49&lt;&gt;9999,IF($C49=2,VLOOKUP($A49,中間シート!$D$187:$T$276,14,FALSE),VLOOKUP($A49,中間シート!$D$187:$T$276,9,FALSE)),"")</f>
        <v/>
      </c>
      <c r="O49" s="261"/>
      <c r="P49" s="261"/>
      <c r="Q49" s="261"/>
      <c r="R49" s="261"/>
      <c r="S49" s="261"/>
      <c r="T49" s="262"/>
      <c r="U49" s="258" t="s">
        <v>516</v>
      </c>
      <c r="V49" s="259"/>
      <c r="W49" s="260" t="str">
        <f>IF($A49&lt;&gt;9999,IF($C49=2,VLOOKUP($A49,中間シート!$D$187:$T$276,15,FALSE),VLOOKUP($A49,中間シート!$D$187:$T$276,10,FALSE)),"")</f>
        <v/>
      </c>
      <c r="X49" s="261"/>
      <c r="Y49" s="261"/>
      <c r="Z49" s="261"/>
      <c r="AA49" s="261"/>
      <c r="AB49" s="261"/>
      <c r="AC49" s="262"/>
      <c r="AD49" s="258" t="s">
        <v>516</v>
      </c>
      <c r="AE49" s="259"/>
      <c r="AF49" s="75" t="str">
        <f>IF($A49&lt;&gt;9999,IF($C49=2,VLOOKUP($A49,中間シート!$D$187:$T$276,16,FALSE),VLOOKUP($A49,中間シート!$D$187:$T$276,11,FALSE)),"")</f>
        <v/>
      </c>
      <c r="AG49" s="70"/>
      <c r="AH49" s="70"/>
      <c r="AI49" s="70"/>
      <c r="AJ49" s="70"/>
      <c r="AK49" s="71"/>
    </row>
    <row r="50" spans="1:37" ht="16.5" customHeight="1" x14ac:dyDescent="0.2">
      <c r="A50" s="20">
        <f>中間シート!AI190</f>
        <v>9999</v>
      </c>
      <c r="B50" s="20" t="str">
        <f>中間シート!AK190</f>
        <v>事業場99</v>
      </c>
      <c r="C50" s="20" t="e">
        <f>中間シート!AJ190</f>
        <v>#N/A</v>
      </c>
      <c r="D50" s="20" t="str">
        <f>VLOOKUP($A50,中間シート!$D$187:$K$276,4)</f>
        <v/>
      </c>
      <c r="E50" s="20" t="str">
        <f>VLOOKUP($A50,中間シート!$D$187:$K$276,5)</f>
        <v/>
      </c>
      <c r="F50" s="20" t="str">
        <f>VLOOKUP($A50,中間シート!$D$187:$K$276,6)</f>
        <v/>
      </c>
      <c r="G50" s="20" t="str">
        <f>VLOOKUP($A50,中間シート!$D$187:$K$276,7)</f>
        <v/>
      </c>
      <c r="H50" s="20" t="str">
        <f>VLOOKUP($A50,中間シート!$D$187:$K$276,8)</f>
        <v/>
      </c>
      <c r="J50" s="248" t="str">
        <f t="shared" ref="J50:J113" si="0">IF(B50="事業場99","",B50)</f>
        <v/>
      </c>
      <c r="K50" s="248"/>
      <c r="L50" s="248"/>
      <c r="M50" s="248"/>
      <c r="N50" s="260" t="str">
        <f>IF($A50&lt;&gt;9999,IF($C50=2,VLOOKUP($A50,中間シート!$D$187:$T$276,14,FALSE),VLOOKUP($A50,中間シート!$D$187:$T$276,9,FALSE)),"")</f>
        <v/>
      </c>
      <c r="O50" s="261"/>
      <c r="P50" s="261"/>
      <c r="Q50" s="261"/>
      <c r="R50" s="261"/>
      <c r="S50" s="261"/>
      <c r="T50" s="262"/>
      <c r="U50" s="258" t="s">
        <v>516</v>
      </c>
      <c r="V50" s="259"/>
      <c r="W50" s="260" t="str">
        <f>IF($A50&lt;&gt;9999,IF($C50=2,VLOOKUP($A50,中間シート!$D$187:$T$276,15,FALSE),VLOOKUP($A50,中間シート!$D$187:$T$276,10,FALSE)),"")</f>
        <v/>
      </c>
      <c r="X50" s="261"/>
      <c r="Y50" s="261"/>
      <c r="Z50" s="261"/>
      <c r="AA50" s="261"/>
      <c r="AB50" s="261"/>
      <c r="AC50" s="262"/>
      <c r="AD50" s="258" t="s">
        <v>516</v>
      </c>
      <c r="AE50" s="259"/>
      <c r="AF50" s="75" t="str">
        <f>IF($A50&lt;&gt;9999,IF($C50=2,VLOOKUP($A50,中間シート!$D$187:$T$276,16,FALSE),VLOOKUP($A50,中間シート!$D$187:$T$276,11,FALSE)),"")</f>
        <v/>
      </c>
      <c r="AG50" s="70"/>
      <c r="AH50" s="70"/>
      <c r="AI50" s="70"/>
      <c r="AJ50" s="70"/>
      <c r="AK50" s="71"/>
    </row>
    <row r="51" spans="1:37" ht="16.5" customHeight="1" x14ac:dyDescent="0.2">
      <c r="A51" s="20">
        <f>中間シート!AI191</f>
        <v>9999</v>
      </c>
      <c r="B51" s="20" t="str">
        <f>中間シート!AK191</f>
        <v>事業場99</v>
      </c>
      <c r="C51" s="20" t="e">
        <f>中間シート!AJ191</f>
        <v>#N/A</v>
      </c>
      <c r="D51" s="20" t="str">
        <f>VLOOKUP($A51,中間シート!$D$187:$K$276,4)</f>
        <v/>
      </c>
      <c r="E51" s="20" t="str">
        <f>VLOOKUP($A51,中間シート!$D$187:$K$276,5)</f>
        <v/>
      </c>
      <c r="F51" s="20" t="str">
        <f>VLOOKUP($A51,中間シート!$D$187:$K$276,6)</f>
        <v/>
      </c>
      <c r="G51" s="20" t="str">
        <f>VLOOKUP($A51,中間シート!$D$187:$K$276,7)</f>
        <v/>
      </c>
      <c r="H51" s="20" t="str">
        <f>VLOOKUP($A51,中間シート!$D$187:$K$276,8)</f>
        <v/>
      </c>
      <c r="J51" s="248" t="str">
        <f t="shared" si="0"/>
        <v/>
      </c>
      <c r="K51" s="248"/>
      <c r="L51" s="248"/>
      <c r="M51" s="248"/>
      <c r="N51" s="260" t="str">
        <f>IF($A51&lt;&gt;9999,IF($C51=2,VLOOKUP($A51,中間シート!$D$187:$T$276,14,FALSE),VLOOKUP($A51,中間シート!$D$187:$T$276,9,FALSE)),"")</f>
        <v/>
      </c>
      <c r="O51" s="261"/>
      <c r="P51" s="261"/>
      <c r="Q51" s="261"/>
      <c r="R51" s="261"/>
      <c r="S51" s="261"/>
      <c r="T51" s="262"/>
      <c r="U51" s="258" t="s">
        <v>516</v>
      </c>
      <c r="V51" s="259"/>
      <c r="W51" s="260" t="str">
        <f>IF($A51&lt;&gt;9999,IF($C51=2,VLOOKUP($A51,中間シート!$D$187:$T$276,15,FALSE),VLOOKUP($A51,中間シート!$D$187:$T$276,10,FALSE)),"")</f>
        <v/>
      </c>
      <c r="X51" s="261"/>
      <c r="Y51" s="261"/>
      <c r="Z51" s="261"/>
      <c r="AA51" s="261"/>
      <c r="AB51" s="261"/>
      <c r="AC51" s="262"/>
      <c r="AD51" s="258" t="s">
        <v>516</v>
      </c>
      <c r="AE51" s="259"/>
      <c r="AF51" s="75" t="str">
        <f>IF($A51&lt;&gt;9999,IF($C51=2,VLOOKUP($A51,中間シート!$D$187:$T$276,16,FALSE),VLOOKUP($A51,中間シート!$D$187:$T$276,11,FALSE)),"")</f>
        <v/>
      </c>
      <c r="AG51" s="70"/>
      <c r="AH51" s="70"/>
      <c r="AI51" s="70"/>
      <c r="AJ51" s="70"/>
      <c r="AK51" s="71"/>
    </row>
    <row r="52" spans="1:37" ht="16.5" customHeight="1" x14ac:dyDescent="0.2">
      <c r="A52" s="20">
        <f>中間シート!AI192</f>
        <v>9999</v>
      </c>
      <c r="B52" s="20" t="str">
        <f>中間シート!AK192</f>
        <v>事業場99</v>
      </c>
      <c r="C52" s="20" t="e">
        <f>中間シート!AJ192</f>
        <v>#N/A</v>
      </c>
      <c r="D52" s="20" t="str">
        <f>VLOOKUP($A52,中間シート!$D$187:$K$276,4)</f>
        <v/>
      </c>
      <c r="E52" s="20" t="str">
        <f>VLOOKUP($A52,中間シート!$D$187:$K$276,5)</f>
        <v/>
      </c>
      <c r="F52" s="20" t="str">
        <f>VLOOKUP($A52,中間シート!$D$187:$K$276,6)</f>
        <v/>
      </c>
      <c r="G52" s="20" t="str">
        <f>VLOOKUP($A52,中間シート!$D$187:$K$276,7)</f>
        <v/>
      </c>
      <c r="H52" s="20" t="str">
        <f>VLOOKUP($A52,中間シート!$D$187:$K$276,8)</f>
        <v/>
      </c>
      <c r="J52" s="248" t="str">
        <f t="shared" si="0"/>
        <v/>
      </c>
      <c r="K52" s="248"/>
      <c r="L52" s="248"/>
      <c r="M52" s="248"/>
      <c r="N52" s="260" t="str">
        <f>IF($A52&lt;&gt;9999,IF($C52=2,VLOOKUP($A52,中間シート!$D$187:$T$276,14,FALSE),VLOOKUP($A52,中間シート!$D$187:$T$276,9,FALSE)),"")</f>
        <v/>
      </c>
      <c r="O52" s="261"/>
      <c r="P52" s="261"/>
      <c r="Q52" s="261"/>
      <c r="R52" s="261"/>
      <c r="S52" s="261"/>
      <c r="T52" s="262"/>
      <c r="U52" s="258" t="s">
        <v>516</v>
      </c>
      <c r="V52" s="259"/>
      <c r="W52" s="260" t="str">
        <f>IF($A52&lt;&gt;9999,IF($C52=2,VLOOKUP($A52,中間シート!$D$187:$T$276,15,FALSE),VLOOKUP($A52,中間シート!$D$187:$T$276,10,FALSE)),"")</f>
        <v/>
      </c>
      <c r="X52" s="261"/>
      <c r="Y52" s="261"/>
      <c r="Z52" s="261"/>
      <c r="AA52" s="261"/>
      <c r="AB52" s="261"/>
      <c r="AC52" s="262"/>
      <c r="AD52" s="258" t="s">
        <v>516</v>
      </c>
      <c r="AE52" s="259"/>
      <c r="AF52" s="75" t="str">
        <f>IF($A52&lt;&gt;9999,IF($C52=2,VLOOKUP($A52,中間シート!$D$187:$T$276,16,FALSE),VLOOKUP($A52,中間シート!$D$187:$T$276,11,FALSE)),"")</f>
        <v/>
      </c>
      <c r="AG52" s="70"/>
      <c r="AH52" s="70"/>
      <c r="AI52" s="70"/>
      <c r="AJ52" s="70"/>
      <c r="AK52" s="71"/>
    </row>
    <row r="53" spans="1:37" ht="16.5" customHeight="1" x14ac:dyDescent="0.2">
      <c r="A53" s="20">
        <f>中間シート!AI193</f>
        <v>9999</v>
      </c>
      <c r="B53" s="20" t="str">
        <f>中間シート!AK193</f>
        <v>事業場99</v>
      </c>
      <c r="C53" s="20" t="e">
        <f>中間シート!AJ193</f>
        <v>#N/A</v>
      </c>
      <c r="D53" s="20" t="str">
        <f>VLOOKUP($A53,中間シート!$D$187:$K$276,4)</f>
        <v/>
      </c>
      <c r="E53" s="20" t="str">
        <f>VLOOKUP($A53,中間シート!$D$187:$K$276,5)</f>
        <v/>
      </c>
      <c r="F53" s="20" t="str">
        <f>VLOOKUP($A53,中間シート!$D$187:$K$276,6)</f>
        <v/>
      </c>
      <c r="G53" s="20" t="str">
        <f>VLOOKUP($A53,中間シート!$D$187:$K$276,7)</f>
        <v/>
      </c>
      <c r="H53" s="20" t="str">
        <f>VLOOKUP($A53,中間シート!$D$187:$K$276,8)</f>
        <v/>
      </c>
      <c r="J53" s="248" t="str">
        <f t="shared" si="0"/>
        <v/>
      </c>
      <c r="K53" s="248"/>
      <c r="L53" s="248"/>
      <c r="M53" s="248"/>
      <c r="N53" s="260" t="str">
        <f>IF($A53&lt;&gt;9999,IF($C53=2,VLOOKUP($A53,中間シート!$D$187:$T$276,14,FALSE),VLOOKUP($A53,中間シート!$D$187:$T$276,9,FALSE)),"")</f>
        <v/>
      </c>
      <c r="O53" s="261"/>
      <c r="P53" s="261"/>
      <c r="Q53" s="261"/>
      <c r="R53" s="261"/>
      <c r="S53" s="261"/>
      <c r="T53" s="262"/>
      <c r="U53" s="258" t="s">
        <v>516</v>
      </c>
      <c r="V53" s="259"/>
      <c r="W53" s="260" t="str">
        <f>IF($A53&lt;&gt;9999,IF($C53=2,VLOOKUP($A53,中間シート!$D$187:$T$276,15,FALSE),VLOOKUP($A53,中間シート!$D$187:$T$276,10,FALSE)),"")</f>
        <v/>
      </c>
      <c r="X53" s="261"/>
      <c r="Y53" s="261"/>
      <c r="Z53" s="261"/>
      <c r="AA53" s="261"/>
      <c r="AB53" s="261"/>
      <c r="AC53" s="262"/>
      <c r="AD53" s="258" t="s">
        <v>516</v>
      </c>
      <c r="AE53" s="259"/>
      <c r="AF53" s="75" t="str">
        <f>IF($A53&lt;&gt;9999,IF($C53=2,VLOOKUP($A53,中間シート!$D$187:$T$276,16,FALSE),VLOOKUP($A53,中間シート!$D$187:$T$276,11,FALSE)),"")</f>
        <v/>
      </c>
      <c r="AG53" s="70"/>
      <c r="AH53" s="70"/>
      <c r="AI53" s="70"/>
      <c r="AJ53" s="70"/>
      <c r="AK53" s="71"/>
    </row>
    <row r="54" spans="1:37" ht="16.5" customHeight="1" x14ac:dyDescent="0.2">
      <c r="A54" s="20">
        <f>中間シート!AI194</f>
        <v>9999</v>
      </c>
      <c r="B54" s="20" t="str">
        <f>中間シート!AK194</f>
        <v>事業場99</v>
      </c>
      <c r="C54" s="20" t="e">
        <f>中間シート!AJ194</f>
        <v>#N/A</v>
      </c>
      <c r="D54" s="20" t="str">
        <f>VLOOKUP($A54,中間シート!$D$187:$K$276,4)</f>
        <v/>
      </c>
      <c r="E54" s="20" t="str">
        <f>VLOOKUP($A54,中間シート!$D$187:$K$276,5)</f>
        <v/>
      </c>
      <c r="F54" s="20" t="str">
        <f>VLOOKUP($A54,中間シート!$D$187:$K$276,6)</f>
        <v/>
      </c>
      <c r="G54" s="20" t="str">
        <f>VLOOKUP($A54,中間シート!$D$187:$K$276,7)</f>
        <v/>
      </c>
      <c r="H54" s="20" t="str">
        <f>VLOOKUP($A54,中間シート!$D$187:$K$276,8)</f>
        <v/>
      </c>
      <c r="J54" s="248" t="str">
        <f t="shared" si="0"/>
        <v/>
      </c>
      <c r="K54" s="248"/>
      <c r="L54" s="248"/>
      <c r="M54" s="248"/>
      <c r="N54" s="260" t="str">
        <f>IF($A54&lt;&gt;9999,IF($C54=2,VLOOKUP($A54,中間シート!$D$187:$T$276,14,FALSE),VLOOKUP($A54,中間シート!$D$187:$T$276,9,FALSE)),"")</f>
        <v/>
      </c>
      <c r="O54" s="261"/>
      <c r="P54" s="261"/>
      <c r="Q54" s="261"/>
      <c r="R54" s="261"/>
      <c r="S54" s="261"/>
      <c r="T54" s="262"/>
      <c r="U54" s="258" t="s">
        <v>516</v>
      </c>
      <c r="V54" s="259"/>
      <c r="W54" s="260" t="str">
        <f>IF($A54&lt;&gt;9999,IF($C54=2,VLOOKUP($A54,中間シート!$D$187:$T$276,15,FALSE),VLOOKUP($A54,中間シート!$D$187:$T$276,10,FALSE)),"")</f>
        <v/>
      </c>
      <c r="X54" s="261"/>
      <c r="Y54" s="261"/>
      <c r="Z54" s="261"/>
      <c r="AA54" s="261"/>
      <c r="AB54" s="261"/>
      <c r="AC54" s="262"/>
      <c r="AD54" s="258" t="s">
        <v>516</v>
      </c>
      <c r="AE54" s="259"/>
      <c r="AF54" s="75" t="str">
        <f>IF($A54&lt;&gt;9999,IF($C54=2,VLOOKUP($A54,中間シート!$D$187:$T$276,16,FALSE),VLOOKUP($A54,中間シート!$D$187:$T$276,11,FALSE)),"")</f>
        <v/>
      </c>
      <c r="AG54" s="70"/>
      <c r="AH54" s="70"/>
      <c r="AI54" s="70"/>
      <c r="AJ54" s="70"/>
      <c r="AK54" s="71"/>
    </row>
    <row r="55" spans="1:37" ht="16.5" customHeight="1" x14ac:dyDescent="0.2">
      <c r="A55" s="20">
        <f>中間シート!AI195</f>
        <v>9999</v>
      </c>
      <c r="B55" s="20" t="str">
        <f>中間シート!AK195</f>
        <v>事業場99</v>
      </c>
      <c r="C55" s="20" t="e">
        <f>中間シート!AJ195</f>
        <v>#N/A</v>
      </c>
      <c r="D55" s="20" t="str">
        <f>VLOOKUP($A55,中間シート!$D$187:$K$276,4)</f>
        <v/>
      </c>
      <c r="E55" s="20" t="str">
        <f>VLOOKUP($A55,中間シート!$D$187:$K$276,5)</f>
        <v/>
      </c>
      <c r="F55" s="20" t="str">
        <f>VLOOKUP($A55,中間シート!$D$187:$K$276,6)</f>
        <v/>
      </c>
      <c r="G55" s="20" t="str">
        <f>VLOOKUP($A55,中間シート!$D$187:$K$276,7)</f>
        <v/>
      </c>
      <c r="H55" s="20" t="str">
        <f>VLOOKUP($A55,中間シート!$D$187:$K$276,8)</f>
        <v/>
      </c>
      <c r="J55" s="248" t="str">
        <f t="shared" si="0"/>
        <v/>
      </c>
      <c r="K55" s="248"/>
      <c r="L55" s="248"/>
      <c r="M55" s="248"/>
      <c r="N55" s="260" t="str">
        <f>IF($A55&lt;&gt;9999,IF($C55=2,VLOOKUP($A55,中間シート!$D$187:$T$276,14,FALSE),VLOOKUP($A55,中間シート!$D$187:$T$276,9,FALSE)),"")</f>
        <v/>
      </c>
      <c r="O55" s="261"/>
      <c r="P55" s="261"/>
      <c r="Q55" s="261"/>
      <c r="R55" s="261"/>
      <c r="S55" s="261"/>
      <c r="T55" s="262"/>
      <c r="U55" s="258" t="s">
        <v>516</v>
      </c>
      <c r="V55" s="259"/>
      <c r="W55" s="260" t="str">
        <f>IF($A55&lt;&gt;9999,IF($C55=2,VLOOKUP($A55,中間シート!$D$187:$T$276,15,FALSE),VLOOKUP($A55,中間シート!$D$187:$T$276,10,FALSE)),"")</f>
        <v/>
      </c>
      <c r="X55" s="261"/>
      <c r="Y55" s="261"/>
      <c r="Z55" s="261"/>
      <c r="AA55" s="261"/>
      <c r="AB55" s="261"/>
      <c r="AC55" s="262"/>
      <c r="AD55" s="258" t="s">
        <v>516</v>
      </c>
      <c r="AE55" s="259"/>
      <c r="AF55" s="75" t="str">
        <f>IF($A55&lt;&gt;9999,IF($C55=2,VLOOKUP($A55,中間シート!$D$187:$T$276,16,FALSE),VLOOKUP($A55,中間シート!$D$187:$T$276,11,FALSE)),"")</f>
        <v/>
      </c>
      <c r="AG55" s="70"/>
      <c r="AH55" s="70"/>
      <c r="AI55" s="70"/>
      <c r="AJ55" s="70"/>
      <c r="AK55" s="71"/>
    </row>
    <row r="56" spans="1:37" ht="16.5" customHeight="1" x14ac:dyDescent="0.2">
      <c r="A56" s="20">
        <f>中間シート!AI196</f>
        <v>9999</v>
      </c>
      <c r="B56" s="20" t="str">
        <f>中間シート!AK196</f>
        <v>事業場99</v>
      </c>
      <c r="C56" s="20" t="e">
        <f>中間シート!AJ196</f>
        <v>#N/A</v>
      </c>
      <c r="D56" s="20" t="str">
        <f>VLOOKUP($A56,中間シート!$D$187:$K$276,4)</f>
        <v/>
      </c>
      <c r="E56" s="20" t="str">
        <f>VLOOKUP($A56,中間シート!$D$187:$K$276,5)</f>
        <v/>
      </c>
      <c r="F56" s="20" t="str">
        <f>VLOOKUP($A56,中間シート!$D$187:$K$276,6)</f>
        <v/>
      </c>
      <c r="G56" s="20" t="str">
        <f>VLOOKUP($A56,中間シート!$D$187:$K$276,7)</f>
        <v/>
      </c>
      <c r="H56" s="20" t="str">
        <f>VLOOKUP($A56,中間シート!$D$187:$K$276,8)</f>
        <v/>
      </c>
      <c r="J56" s="248" t="str">
        <f t="shared" si="0"/>
        <v/>
      </c>
      <c r="K56" s="248"/>
      <c r="L56" s="248"/>
      <c r="M56" s="248"/>
      <c r="N56" s="260" t="str">
        <f>IF($A56&lt;&gt;9999,IF($C56=2,VLOOKUP($A56,中間シート!$D$187:$T$276,14,FALSE),VLOOKUP($A56,中間シート!$D$187:$T$276,9,FALSE)),"")</f>
        <v/>
      </c>
      <c r="O56" s="261"/>
      <c r="P56" s="261"/>
      <c r="Q56" s="261"/>
      <c r="R56" s="261"/>
      <c r="S56" s="261"/>
      <c r="T56" s="262"/>
      <c r="U56" s="258" t="s">
        <v>516</v>
      </c>
      <c r="V56" s="259"/>
      <c r="W56" s="260" t="str">
        <f>IF($A56&lt;&gt;9999,IF($C56=2,VLOOKUP($A56,中間シート!$D$187:$T$276,15,FALSE),VLOOKUP($A56,中間シート!$D$187:$T$276,10,FALSE)),"")</f>
        <v/>
      </c>
      <c r="X56" s="261"/>
      <c r="Y56" s="261"/>
      <c r="Z56" s="261"/>
      <c r="AA56" s="261"/>
      <c r="AB56" s="261"/>
      <c r="AC56" s="262"/>
      <c r="AD56" s="258" t="s">
        <v>516</v>
      </c>
      <c r="AE56" s="259"/>
      <c r="AF56" s="75" t="str">
        <f>IF($A56&lt;&gt;9999,IF($C56=2,VLOOKUP($A56,中間シート!$D$187:$T$276,16,FALSE),VLOOKUP($A56,中間シート!$D$187:$T$276,11,FALSE)),"")</f>
        <v/>
      </c>
      <c r="AG56" s="70"/>
      <c r="AH56" s="70"/>
      <c r="AI56" s="70"/>
      <c r="AJ56" s="70"/>
      <c r="AK56" s="71"/>
    </row>
    <row r="57" spans="1:37" ht="16.5" customHeight="1" x14ac:dyDescent="0.2">
      <c r="A57" s="20">
        <f>中間シート!AI197</f>
        <v>9999</v>
      </c>
      <c r="B57" s="20" t="str">
        <f>中間シート!AK197</f>
        <v>事業場99</v>
      </c>
      <c r="C57" s="20" t="e">
        <f>中間シート!AJ197</f>
        <v>#N/A</v>
      </c>
      <c r="D57" s="20" t="str">
        <f>VLOOKUP($A57,中間シート!$D$187:$K$276,4)</f>
        <v/>
      </c>
      <c r="E57" s="20" t="str">
        <f>VLOOKUP($A57,中間シート!$D$187:$K$276,5)</f>
        <v/>
      </c>
      <c r="F57" s="20" t="str">
        <f>VLOOKUP($A57,中間シート!$D$187:$K$276,6)</f>
        <v/>
      </c>
      <c r="G57" s="20" t="str">
        <f>VLOOKUP($A57,中間シート!$D$187:$K$276,7)</f>
        <v/>
      </c>
      <c r="H57" s="20" t="str">
        <f>VLOOKUP($A57,中間シート!$D$187:$K$276,8)</f>
        <v/>
      </c>
      <c r="J57" s="248" t="str">
        <f t="shared" si="0"/>
        <v/>
      </c>
      <c r="K57" s="248"/>
      <c r="L57" s="248"/>
      <c r="M57" s="248"/>
      <c r="N57" s="260" t="str">
        <f>IF($A57&lt;&gt;9999,IF($C57=2,VLOOKUP($A57,中間シート!$D$187:$T$276,14,FALSE),VLOOKUP($A57,中間シート!$D$187:$T$276,9,FALSE)),"")</f>
        <v/>
      </c>
      <c r="O57" s="261"/>
      <c r="P57" s="261"/>
      <c r="Q57" s="261"/>
      <c r="R57" s="261"/>
      <c r="S57" s="261"/>
      <c r="T57" s="262"/>
      <c r="U57" s="258" t="s">
        <v>516</v>
      </c>
      <c r="V57" s="259"/>
      <c r="W57" s="260" t="str">
        <f>IF($A57&lt;&gt;9999,IF($C57=2,VLOOKUP($A57,中間シート!$D$187:$T$276,15,FALSE),VLOOKUP($A57,中間シート!$D$187:$T$276,10,FALSE)),"")</f>
        <v/>
      </c>
      <c r="X57" s="261"/>
      <c r="Y57" s="261"/>
      <c r="Z57" s="261"/>
      <c r="AA57" s="261"/>
      <c r="AB57" s="261"/>
      <c r="AC57" s="262"/>
      <c r="AD57" s="258" t="s">
        <v>516</v>
      </c>
      <c r="AE57" s="259"/>
      <c r="AF57" s="75" t="str">
        <f>IF($A57&lt;&gt;9999,IF($C57=2,VLOOKUP($A57,中間シート!$D$187:$T$276,16,FALSE),VLOOKUP($A57,中間シート!$D$187:$T$276,11,FALSE)),"")</f>
        <v/>
      </c>
      <c r="AG57" s="70"/>
      <c r="AH57" s="70"/>
      <c r="AI57" s="70"/>
      <c r="AJ57" s="70"/>
      <c r="AK57" s="71"/>
    </row>
    <row r="58" spans="1:37" ht="16.5" customHeight="1" x14ac:dyDescent="0.2">
      <c r="A58" s="20">
        <f>中間シート!AI198</f>
        <v>9999</v>
      </c>
      <c r="B58" s="20" t="str">
        <f>中間シート!AK198</f>
        <v>事業場99</v>
      </c>
      <c r="C58" s="20" t="e">
        <f>中間シート!AJ198</f>
        <v>#N/A</v>
      </c>
      <c r="D58" s="20" t="str">
        <f>VLOOKUP($A58,中間シート!$D$187:$K$276,4)</f>
        <v/>
      </c>
      <c r="E58" s="20" t="str">
        <f>VLOOKUP($A58,中間シート!$D$187:$K$276,5)</f>
        <v/>
      </c>
      <c r="F58" s="20" t="str">
        <f>VLOOKUP($A58,中間シート!$D$187:$K$276,6)</f>
        <v/>
      </c>
      <c r="G58" s="20" t="str">
        <f>VLOOKUP($A58,中間シート!$D$187:$K$276,7)</f>
        <v/>
      </c>
      <c r="H58" s="20" t="str">
        <f>VLOOKUP($A58,中間シート!$D$187:$K$276,8)</f>
        <v/>
      </c>
      <c r="J58" s="248" t="str">
        <f t="shared" si="0"/>
        <v/>
      </c>
      <c r="K58" s="248"/>
      <c r="L58" s="248"/>
      <c r="M58" s="248"/>
      <c r="N58" s="260" t="str">
        <f>IF($A58&lt;&gt;9999,IF($C58=2,VLOOKUP($A58,中間シート!$D$187:$T$276,14,FALSE),VLOOKUP($A58,中間シート!$D$187:$T$276,9,FALSE)),"")</f>
        <v/>
      </c>
      <c r="O58" s="261"/>
      <c r="P58" s="261"/>
      <c r="Q58" s="261"/>
      <c r="R58" s="261"/>
      <c r="S58" s="261"/>
      <c r="T58" s="262"/>
      <c r="U58" s="258" t="s">
        <v>516</v>
      </c>
      <c r="V58" s="259"/>
      <c r="W58" s="260" t="str">
        <f>IF($A58&lt;&gt;9999,IF($C58=2,VLOOKUP($A58,中間シート!$D$187:$T$276,15,FALSE),VLOOKUP($A58,中間シート!$D$187:$T$276,10,FALSE)),"")</f>
        <v/>
      </c>
      <c r="X58" s="261"/>
      <c r="Y58" s="261"/>
      <c r="Z58" s="261"/>
      <c r="AA58" s="261"/>
      <c r="AB58" s="261"/>
      <c r="AC58" s="262"/>
      <c r="AD58" s="258" t="s">
        <v>516</v>
      </c>
      <c r="AE58" s="259"/>
      <c r="AF58" s="75" t="str">
        <f>IF($A58&lt;&gt;9999,IF($C58=2,VLOOKUP($A58,中間シート!$D$187:$T$276,16,FALSE),VLOOKUP($A58,中間シート!$D$187:$T$276,11,FALSE)),"")</f>
        <v/>
      </c>
      <c r="AG58" s="70"/>
      <c r="AH58" s="70"/>
      <c r="AI58" s="70"/>
      <c r="AJ58" s="70"/>
      <c r="AK58" s="71"/>
    </row>
    <row r="59" spans="1:37" ht="16.5" customHeight="1" x14ac:dyDescent="0.2">
      <c r="A59" s="20">
        <f>中間シート!AI199</f>
        <v>9999</v>
      </c>
      <c r="B59" s="20" t="str">
        <f>中間シート!AK199</f>
        <v>事業場99</v>
      </c>
      <c r="C59" s="20" t="e">
        <f>中間シート!AJ199</f>
        <v>#N/A</v>
      </c>
      <c r="D59" s="20" t="str">
        <f>VLOOKUP($A59,中間シート!$D$187:$K$276,4)</f>
        <v/>
      </c>
      <c r="E59" s="20" t="str">
        <f>VLOOKUP($A59,中間シート!$D$187:$K$276,5)</f>
        <v/>
      </c>
      <c r="F59" s="20" t="str">
        <f>VLOOKUP($A59,中間シート!$D$187:$K$276,6)</f>
        <v/>
      </c>
      <c r="G59" s="20" t="str">
        <f>VLOOKUP($A59,中間シート!$D$187:$K$276,7)</f>
        <v/>
      </c>
      <c r="H59" s="20" t="str">
        <f>VLOOKUP($A59,中間シート!$D$187:$K$276,8)</f>
        <v/>
      </c>
      <c r="J59" s="248" t="str">
        <f t="shared" si="0"/>
        <v/>
      </c>
      <c r="K59" s="248"/>
      <c r="L59" s="248"/>
      <c r="M59" s="248"/>
      <c r="N59" s="260" t="str">
        <f>IF($A59&lt;&gt;9999,IF($C59=2,VLOOKUP($A59,中間シート!$D$187:$T$276,14,FALSE),VLOOKUP($A59,中間シート!$D$187:$T$276,9,FALSE)),"")</f>
        <v/>
      </c>
      <c r="O59" s="261"/>
      <c r="P59" s="261"/>
      <c r="Q59" s="261"/>
      <c r="R59" s="261"/>
      <c r="S59" s="261"/>
      <c r="T59" s="262"/>
      <c r="U59" s="258" t="s">
        <v>516</v>
      </c>
      <c r="V59" s="259"/>
      <c r="W59" s="260" t="str">
        <f>IF($A59&lt;&gt;9999,IF($C59=2,VLOOKUP($A59,中間シート!$D$187:$T$276,15,FALSE),VLOOKUP($A59,中間シート!$D$187:$T$276,10,FALSE)),"")</f>
        <v/>
      </c>
      <c r="X59" s="261"/>
      <c r="Y59" s="261"/>
      <c r="Z59" s="261"/>
      <c r="AA59" s="261"/>
      <c r="AB59" s="261"/>
      <c r="AC59" s="262"/>
      <c r="AD59" s="258" t="s">
        <v>516</v>
      </c>
      <c r="AE59" s="259"/>
      <c r="AF59" s="75" t="str">
        <f>IF($A59&lt;&gt;9999,IF($C59=2,VLOOKUP($A59,中間シート!$D$187:$T$276,16,FALSE),VLOOKUP($A59,中間シート!$D$187:$T$276,11,FALSE)),"")</f>
        <v/>
      </c>
      <c r="AG59" s="70"/>
      <c r="AH59" s="70"/>
      <c r="AI59" s="70"/>
      <c r="AJ59" s="70"/>
      <c r="AK59" s="71"/>
    </row>
    <row r="60" spans="1:37" ht="16.5" customHeight="1" x14ac:dyDescent="0.2">
      <c r="A60" s="20">
        <f>中間シート!AI200</f>
        <v>9999</v>
      </c>
      <c r="B60" s="20" t="str">
        <f>中間シート!AK200</f>
        <v>事業場99</v>
      </c>
      <c r="C60" s="20" t="e">
        <f>中間シート!AJ200</f>
        <v>#N/A</v>
      </c>
      <c r="D60" s="20" t="str">
        <f>VLOOKUP($A60,中間シート!$D$187:$K$276,4)</f>
        <v/>
      </c>
      <c r="E60" s="20" t="str">
        <f>VLOOKUP($A60,中間シート!$D$187:$K$276,5)</f>
        <v/>
      </c>
      <c r="F60" s="20" t="str">
        <f>VLOOKUP($A60,中間シート!$D$187:$K$276,6)</f>
        <v/>
      </c>
      <c r="G60" s="20" t="str">
        <f>VLOOKUP($A60,中間シート!$D$187:$K$276,7)</f>
        <v/>
      </c>
      <c r="H60" s="20" t="str">
        <f>VLOOKUP($A60,中間シート!$D$187:$K$276,8)</f>
        <v/>
      </c>
      <c r="J60" s="248" t="str">
        <f t="shared" si="0"/>
        <v/>
      </c>
      <c r="K60" s="248"/>
      <c r="L60" s="248"/>
      <c r="M60" s="248"/>
      <c r="N60" s="260" t="str">
        <f>IF($A60&lt;&gt;9999,IF($C60=2,VLOOKUP($A60,中間シート!$D$187:$T$276,14,FALSE),VLOOKUP($A60,中間シート!$D$187:$T$276,9,FALSE)),"")</f>
        <v/>
      </c>
      <c r="O60" s="261"/>
      <c r="P60" s="261"/>
      <c r="Q60" s="261"/>
      <c r="R60" s="261"/>
      <c r="S60" s="261"/>
      <c r="T60" s="262"/>
      <c r="U60" s="258" t="s">
        <v>516</v>
      </c>
      <c r="V60" s="259"/>
      <c r="W60" s="260" t="str">
        <f>IF($A60&lt;&gt;9999,IF($C60=2,VLOOKUP($A60,中間シート!$D$187:$T$276,15,FALSE),VLOOKUP($A60,中間シート!$D$187:$T$276,10,FALSE)),"")</f>
        <v/>
      </c>
      <c r="X60" s="261"/>
      <c r="Y60" s="261"/>
      <c r="Z60" s="261"/>
      <c r="AA60" s="261"/>
      <c r="AB60" s="261"/>
      <c r="AC60" s="262"/>
      <c r="AD60" s="258" t="s">
        <v>516</v>
      </c>
      <c r="AE60" s="259"/>
      <c r="AF60" s="75" t="str">
        <f>IF($A60&lt;&gt;9999,IF($C60=2,VLOOKUP($A60,中間シート!$D$187:$T$276,16,FALSE),VLOOKUP($A60,中間シート!$D$187:$T$276,11,FALSE)),"")</f>
        <v/>
      </c>
      <c r="AG60" s="70"/>
      <c r="AH60" s="70"/>
      <c r="AI60" s="70"/>
      <c r="AJ60" s="70"/>
      <c r="AK60" s="71"/>
    </row>
    <row r="61" spans="1:37" ht="16.5" customHeight="1" x14ac:dyDescent="0.2">
      <c r="A61" s="20">
        <f>中間シート!AI201</f>
        <v>9999</v>
      </c>
      <c r="B61" s="20" t="str">
        <f>中間シート!AK201</f>
        <v>事業場99</v>
      </c>
      <c r="C61" s="20" t="e">
        <f>中間シート!AJ201</f>
        <v>#N/A</v>
      </c>
      <c r="D61" s="20" t="str">
        <f>VLOOKUP($A61,中間シート!$D$187:$K$276,4)</f>
        <v/>
      </c>
      <c r="E61" s="20" t="str">
        <f>VLOOKUP($A61,中間シート!$D$187:$K$276,5)</f>
        <v/>
      </c>
      <c r="F61" s="20" t="str">
        <f>VLOOKUP($A61,中間シート!$D$187:$K$276,6)</f>
        <v/>
      </c>
      <c r="G61" s="20" t="str">
        <f>VLOOKUP($A61,中間シート!$D$187:$K$276,7)</f>
        <v/>
      </c>
      <c r="H61" s="20" t="str">
        <f>VLOOKUP($A61,中間シート!$D$187:$K$276,8)</f>
        <v/>
      </c>
      <c r="J61" s="248" t="str">
        <f t="shared" si="0"/>
        <v/>
      </c>
      <c r="K61" s="248"/>
      <c r="L61" s="248"/>
      <c r="M61" s="248"/>
      <c r="N61" s="260" t="str">
        <f>IF($A61&lt;&gt;9999,IF($C61=2,VLOOKUP($A61,中間シート!$D$187:$T$276,14,FALSE),VLOOKUP($A61,中間シート!$D$187:$T$276,9,FALSE)),"")</f>
        <v/>
      </c>
      <c r="O61" s="261"/>
      <c r="P61" s="261"/>
      <c r="Q61" s="261"/>
      <c r="R61" s="261"/>
      <c r="S61" s="261"/>
      <c r="T61" s="262"/>
      <c r="U61" s="258" t="s">
        <v>516</v>
      </c>
      <c r="V61" s="259"/>
      <c r="W61" s="260" t="str">
        <f>IF($A61&lt;&gt;9999,IF($C61=2,VLOOKUP($A61,中間シート!$D$187:$T$276,15,FALSE),VLOOKUP($A61,中間シート!$D$187:$T$276,10,FALSE)),"")</f>
        <v/>
      </c>
      <c r="X61" s="261"/>
      <c r="Y61" s="261"/>
      <c r="Z61" s="261"/>
      <c r="AA61" s="261"/>
      <c r="AB61" s="261"/>
      <c r="AC61" s="262"/>
      <c r="AD61" s="258" t="s">
        <v>516</v>
      </c>
      <c r="AE61" s="259"/>
      <c r="AF61" s="75" t="str">
        <f>IF($A61&lt;&gt;9999,IF($C61=2,VLOOKUP($A61,中間シート!$D$187:$T$276,16,FALSE),VLOOKUP($A61,中間シート!$D$187:$T$276,11,FALSE)),"")</f>
        <v/>
      </c>
      <c r="AG61" s="70"/>
      <c r="AH61" s="70"/>
      <c r="AI61" s="70"/>
      <c r="AJ61" s="70"/>
      <c r="AK61" s="71"/>
    </row>
    <row r="62" spans="1:37" ht="16.5" customHeight="1" x14ac:dyDescent="0.2">
      <c r="A62" s="20">
        <f>中間シート!AI202</f>
        <v>9999</v>
      </c>
      <c r="B62" s="20" t="str">
        <f>中間シート!AK202</f>
        <v>事業場99</v>
      </c>
      <c r="C62" s="20" t="e">
        <f>中間シート!AJ202</f>
        <v>#N/A</v>
      </c>
      <c r="D62" s="20" t="str">
        <f>VLOOKUP($A62,中間シート!$D$187:$K$276,4)</f>
        <v/>
      </c>
      <c r="E62" s="20" t="str">
        <f>VLOOKUP($A62,中間シート!$D$187:$K$276,5)</f>
        <v/>
      </c>
      <c r="F62" s="20" t="str">
        <f>VLOOKUP($A62,中間シート!$D$187:$K$276,6)</f>
        <v/>
      </c>
      <c r="G62" s="20" t="str">
        <f>VLOOKUP($A62,中間シート!$D$187:$K$276,7)</f>
        <v/>
      </c>
      <c r="H62" s="20" t="str">
        <f>VLOOKUP($A62,中間シート!$D$187:$K$276,8)</f>
        <v/>
      </c>
      <c r="J62" s="248" t="str">
        <f t="shared" si="0"/>
        <v/>
      </c>
      <c r="K62" s="248"/>
      <c r="L62" s="248"/>
      <c r="M62" s="248"/>
      <c r="N62" s="260" t="str">
        <f>IF($A62&lt;&gt;9999,IF($C62=2,VLOOKUP($A62,中間シート!$D$187:$T$276,14,FALSE),VLOOKUP($A62,中間シート!$D$187:$T$276,9,FALSE)),"")</f>
        <v/>
      </c>
      <c r="O62" s="261"/>
      <c r="P62" s="261"/>
      <c r="Q62" s="261"/>
      <c r="R62" s="261"/>
      <c r="S62" s="261"/>
      <c r="T62" s="262"/>
      <c r="U62" s="258" t="s">
        <v>516</v>
      </c>
      <c r="V62" s="259"/>
      <c r="W62" s="260" t="str">
        <f>IF($A62&lt;&gt;9999,IF($C62=2,VLOOKUP($A62,中間シート!$D$187:$T$276,15,FALSE),VLOOKUP($A62,中間シート!$D$187:$T$276,10,FALSE)),"")</f>
        <v/>
      </c>
      <c r="X62" s="261"/>
      <c r="Y62" s="261"/>
      <c r="Z62" s="261"/>
      <c r="AA62" s="261"/>
      <c r="AB62" s="261"/>
      <c r="AC62" s="262"/>
      <c r="AD62" s="258" t="s">
        <v>516</v>
      </c>
      <c r="AE62" s="259"/>
      <c r="AF62" s="75" t="str">
        <f>IF($A62&lt;&gt;9999,IF($C62=2,VLOOKUP($A62,中間シート!$D$187:$T$276,16,FALSE),VLOOKUP($A62,中間シート!$D$187:$T$276,11,FALSE)),"")</f>
        <v/>
      </c>
      <c r="AG62" s="70"/>
      <c r="AH62" s="70"/>
      <c r="AI62" s="70"/>
      <c r="AJ62" s="70"/>
      <c r="AK62" s="71"/>
    </row>
    <row r="63" spans="1:37" ht="16.5" customHeight="1" x14ac:dyDescent="0.2">
      <c r="A63" s="20">
        <f>中間シート!AI203</f>
        <v>9999</v>
      </c>
      <c r="B63" s="20" t="str">
        <f>中間シート!AK203</f>
        <v>事業場99</v>
      </c>
      <c r="C63" s="20" t="e">
        <f>中間シート!AJ203</f>
        <v>#N/A</v>
      </c>
      <c r="D63" s="20" t="str">
        <f>VLOOKUP($A63,中間シート!$D$187:$K$276,4)</f>
        <v/>
      </c>
      <c r="E63" s="20" t="str">
        <f>VLOOKUP($A63,中間シート!$D$187:$K$276,5)</f>
        <v/>
      </c>
      <c r="F63" s="20" t="str">
        <f>VLOOKUP($A63,中間シート!$D$187:$K$276,6)</f>
        <v/>
      </c>
      <c r="G63" s="20" t="str">
        <f>VLOOKUP($A63,中間シート!$D$187:$K$276,7)</f>
        <v/>
      </c>
      <c r="H63" s="20" t="str">
        <f>VLOOKUP($A63,中間シート!$D$187:$K$276,8)</f>
        <v/>
      </c>
      <c r="J63" s="248" t="str">
        <f t="shared" si="0"/>
        <v/>
      </c>
      <c r="K63" s="248"/>
      <c r="L63" s="248"/>
      <c r="M63" s="248"/>
      <c r="N63" s="260" t="str">
        <f>IF($A63&lt;&gt;9999,IF($C63=2,VLOOKUP($A63,中間シート!$D$187:$T$276,14,FALSE),VLOOKUP($A63,中間シート!$D$187:$T$276,9,FALSE)),"")</f>
        <v/>
      </c>
      <c r="O63" s="261"/>
      <c r="P63" s="261"/>
      <c r="Q63" s="261"/>
      <c r="R63" s="261"/>
      <c r="S63" s="261"/>
      <c r="T63" s="262"/>
      <c r="U63" s="258" t="s">
        <v>516</v>
      </c>
      <c r="V63" s="259"/>
      <c r="W63" s="260" t="str">
        <f>IF($A63&lt;&gt;9999,IF($C63=2,VLOOKUP($A63,中間シート!$D$187:$T$276,15,FALSE),VLOOKUP($A63,中間シート!$D$187:$T$276,10,FALSE)),"")</f>
        <v/>
      </c>
      <c r="X63" s="261"/>
      <c r="Y63" s="261"/>
      <c r="Z63" s="261"/>
      <c r="AA63" s="261"/>
      <c r="AB63" s="261"/>
      <c r="AC63" s="262"/>
      <c r="AD63" s="258" t="s">
        <v>516</v>
      </c>
      <c r="AE63" s="259"/>
      <c r="AF63" s="75" t="str">
        <f>IF($A63&lt;&gt;9999,IF($C63=2,VLOOKUP($A63,中間シート!$D$187:$T$276,16,FALSE),VLOOKUP($A63,中間シート!$D$187:$T$276,11,FALSE)),"")</f>
        <v/>
      </c>
      <c r="AG63" s="70"/>
      <c r="AH63" s="70"/>
      <c r="AI63" s="70"/>
      <c r="AJ63" s="70"/>
      <c r="AK63" s="71"/>
    </row>
    <row r="64" spans="1:37" ht="16.5" customHeight="1" x14ac:dyDescent="0.2">
      <c r="A64" s="20">
        <f>中間シート!AI204</f>
        <v>9999</v>
      </c>
      <c r="B64" s="20" t="str">
        <f>中間シート!AK204</f>
        <v>事業場99</v>
      </c>
      <c r="C64" s="20" t="e">
        <f>中間シート!AJ204</f>
        <v>#N/A</v>
      </c>
      <c r="D64" s="20" t="str">
        <f>VLOOKUP($A64,中間シート!$D$187:$K$276,4)</f>
        <v/>
      </c>
      <c r="E64" s="20" t="str">
        <f>VLOOKUP($A64,中間シート!$D$187:$K$276,5)</f>
        <v/>
      </c>
      <c r="F64" s="20" t="str">
        <f>VLOOKUP($A64,中間シート!$D$187:$K$276,6)</f>
        <v/>
      </c>
      <c r="G64" s="20" t="str">
        <f>VLOOKUP($A64,中間シート!$D$187:$K$276,7)</f>
        <v/>
      </c>
      <c r="H64" s="20" t="str">
        <f>VLOOKUP($A64,中間シート!$D$187:$K$276,8)</f>
        <v/>
      </c>
      <c r="J64" s="248" t="str">
        <f t="shared" si="0"/>
        <v/>
      </c>
      <c r="K64" s="248"/>
      <c r="L64" s="248"/>
      <c r="M64" s="248"/>
      <c r="N64" s="260" t="str">
        <f>IF($A64&lt;&gt;9999,IF($C64=2,VLOOKUP($A64,中間シート!$D$187:$T$276,14,FALSE),VLOOKUP($A64,中間シート!$D$187:$T$276,9,FALSE)),"")</f>
        <v/>
      </c>
      <c r="O64" s="261"/>
      <c r="P64" s="261"/>
      <c r="Q64" s="261"/>
      <c r="R64" s="261"/>
      <c r="S64" s="261"/>
      <c r="T64" s="262"/>
      <c r="U64" s="258" t="s">
        <v>516</v>
      </c>
      <c r="V64" s="259"/>
      <c r="W64" s="260" t="str">
        <f>IF($A64&lt;&gt;9999,IF($C64=2,VLOOKUP($A64,中間シート!$D$187:$T$276,15,FALSE),VLOOKUP($A64,中間シート!$D$187:$T$276,10,FALSE)),"")</f>
        <v/>
      </c>
      <c r="X64" s="261"/>
      <c r="Y64" s="261"/>
      <c r="Z64" s="261"/>
      <c r="AA64" s="261"/>
      <c r="AB64" s="261"/>
      <c r="AC64" s="262"/>
      <c r="AD64" s="258" t="s">
        <v>516</v>
      </c>
      <c r="AE64" s="259"/>
      <c r="AF64" s="75" t="str">
        <f>IF($A64&lt;&gt;9999,IF($C64=2,VLOOKUP($A64,中間シート!$D$187:$T$276,16,FALSE),VLOOKUP($A64,中間シート!$D$187:$T$276,11,FALSE)),"")</f>
        <v/>
      </c>
      <c r="AG64" s="70"/>
      <c r="AH64" s="70"/>
      <c r="AI64" s="70"/>
      <c r="AJ64" s="70"/>
      <c r="AK64" s="71"/>
    </row>
    <row r="65" spans="1:37" ht="16.5" customHeight="1" x14ac:dyDescent="0.2">
      <c r="A65" s="20">
        <f>中間シート!AI205</f>
        <v>9999</v>
      </c>
      <c r="B65" s="20" t="str">
        <f>中間シート!AK205</f>
        <v>事業場99</v>
      </c>
      <c r="C65" s="20" t="e">
        <f>中間シート!AJ205</f>
        <v>#N/A</v>
      </c>
      <c r="D65" s="20" t="str">
        <f>VLOOKUP($A65,中間シート!$D$187:$K$276,4)</f>
        <v/>
      </c>
      <c r="E65" s="20" t="str">
        <f>VLOOKUP($A65,中間シート!$D$187:$K$276,5)</f>
        <v/>
      </c>
      <c r="F65" s="20" t="str">
        <f>VLOOKUP($A65,中間シート!$D$187:$K$276,6)</f>
        <v/>
      </c>
      <c r="G65" s="20" t="str">
        <f>VLOOKUP($A65,中間シート!$D$187:$K$276,7)</f>
        <v/>
      </c>
      <c r="H65" s="20" t="str">
        <f>VLOOKUP($A65,中間シート!$D$187:$K$276,8)</f>
        <v/>
      </c>
      <c r="J65" s="248" t="str">
        <f t="shared" si="0"/>
        <v/>
      </c>
      <c r="K65" s="248"/>
      <c r="L65" s="248"/>
      <c r="M65" s="248"/>
      <c r="N65" s="260" t="str">
        <f>IF($A65&lt;&gt;9999,IF($C65=2,VLOOKUP($A65,中間シート!$D$187:$T$276,14,FALSE),VLOOKUP($A65,中間シート!$D$187:$T$276,9,FALSE)),"")</f>
        <v/>
      </c>
      <c r="O65" s="261"/>
      <c r="P65" s="261"/>
      <c r="Q65" s="261"/>
      <c r="R65" s="261"/>
      <c r="S65" s="261"/>
      <c r="T65" s="262"/>
      <c r="U65" s="258" t="s">
        <v>516</v>
      </c>
      <c r="V65" s="259"/>
      <c r="W65" s="260" t="str">
        <f>IF($A65&lt;&gt;9999,IF($C65=2,VLOOKUP($A65,中間シート!$D$187:$T$276,15,FALSE),VLOOKUP($A65,中間シート!$D$187:$T$276,10,FALSE)),"")</f>
        <v/>
      </c>
      <c r="X65" s="261"/>
      <c r="Y65" s="261"/>
      <c r="Z65" s="261"/>
      <c r="AA65" s="261"/>
      <c r="AB65" s="261"/>
      <c r="AC65" s="262"/>
      <c r="AD65" s="258" t="s">
        <v>516</v>
      </c>
      <c r="AE65" s="259"/>
      <c r="AF65" s="75" t="str">
        <f>IF($A65&lt;&gt;9999,IF($C65=2,VLOOKUP($A65,中間シート!$D$187:$T$276,16,FALSE),VLOOKUP($A65,中間シート!$D$187:$T$276,11,FALSE)),"")</f>
        <v/>
      </c>
      <c r="AG65" s="70"/>
      <c r="AH65" s="70"/>
      <c r="AI65" s="70"/>
      <c r="AJ65" s="70"/>
      <c r="AK65" s="71"/>
    </row>
    <row r="66" spans="1:37" ht="16.5" customHeight="1" x14ac:dyDescent="0.2">
      <c r="A66" s="20">
        <f>中間シート!AI206</f>
        <v>9999</v>
      </c>
      <c r="B66" s="20" t="str">
        <f>中間シート!AK206</f>
        <v>事業場99</v>
      </c>
      <c r="C66" s="20" t="e">
        <f>中間シート!AJ206</f>
        <v>#N/A</v>
      </c>
      <c r="D66" s="20" t="str">
        <f>VLOOKUP($A66,中間シート!$D$187:$K$276,4)</f>
        <v/>
      </c>
      <c r="E66" s="20" t="str">
        <f>VLOOKUP($A66,中間シート!$D$187:$K$276,5)</f>
        <v/>
      </c>
      <c r="F66" s="20" t="str">
        <f>VLOOKUP($A66,中間シート!$D$187:$K$276,6)</f>
        <v/>
      </c>
      <c r="G66" s="20" t="str">
        <f>VLOOKUP($A66,中間シート!$D$187:$K$276,7)</f>
        <v/>
      </c>
      <c r="H66" s="20" t="str">
        <f>VLOOKUP($A66,中間シート!$D$187:$K$276,8)</f>
        <v/>
      </c>
      <c r="J66" s="248" t="str">
        <f t="shared" si="0"/>
        <v/>
      </c>
      <c r="K66" s="248"/>
      <c r="L66" s="248"/>
      <c r="M66" s="248"/>
      <c r="N66" s="260" t="str">
        <f>IF($A66&lt;&gt;9999,IF($C66=2,VLOOKUP($A66,中間シート!$D$187:$T$276,14,FALSE),VLOOKUP($A66,中間シート!$D$187:$T$276,9,FALSE)),"")</f>
        <v/>
      </c>
      <c r="O66" s="261"/>
      <c r="P66" s="261"/>
      <c r="Q66" s="261"/>
      <c r="R66" s="261"/>
      <c r="S66" s="261"/>
      <c r="T66" s="262"/>
      <c r="U66" s="258" t="s">
        <v>516</v>
      </c>
      <c r="V66" s="259"/>
      <c r="W66" s="260" t="str">
        <f>IF($A66&lt;&gt;9999,IF($C66=2,VLOOKUP($A66,中間シート!$D$187:$T$276,15,FALSE),VLOOKUP($A66,中間シート!$D$187:$T$276,10,FALSE)),"")</f>
        <v/>
      </c>
      <c r="X66" s="261"/>
      <c r="Y66" s="261"/>
      <c r="Z66" s="261"/>
      <c r="AA66" s="261"/>
      <c r="AB66" s="261"/>
      <c r="AC66" s="262"/>
      <c r="AD66" s="258" t="s">
        <v>516</v>
      </c>
      <c r="AE66" s="259"/>
      <c r="AF66" s="75" t="str">
        <f>IF($A66&lt;&gt;9999,IF($C66=2,VLOOKUP($A66,中間シート!$D$187:$T$276,16,FALSE),VLOOKUP($A66,中間シート!$D$187:$T$276,11,FALSE)),"")</f>
        <v/>
      </c>
      <c r="AG66" s="70"/>
      <c r="AH66" s="70"/>
      <c r="AI66" s="70"/>
      <c r="AJ66" s="70"/>
      <c r="AK66" s="71"/>
    </row>
    <row r="67" spans="1:37" ht="16.5" customHeight="1" x14ac:dyDescent="0.2">
      <c r="A67" s="20">
        <f>中間シート!AI207</f>
        <v>9999</v>
      </c>
      <c r="B67" s="20" t="str">
        <f>中間シート!AK207</f>
        <v>事業場99</v>
      </c>
      <c r="C67" s="20" t="e">
        <f>中間シート!AJ207</f>
        <v>#N/A</v>
      </c>
      <c r="D67" s="20" t="str">
        <f>VLOOKUP($A67,中間シート!$D$187:$K$276,4)</f>
        <v/>
      </c>
      <c r="E67" s="20" t="str">
        <f>VLOOKUP($A67,中間シート!$D$187:$K$276,5)</f>
        <v/>
      </c>
      <c r="F67" s="20" t="str">
        <f>VLOOKUP($A67,中間シート!$D$187:$K$276,6)</f>
        <v/>
      </c>
      <c r="G67" s="20" t="str">
        <f>VLOOKUP($A67,中間シート!$D$187:$K$276,7)</f>
        <v/>
      </c>
      <c r="H67" s="20" t="str">
        <f>VLOOKUP($A67,中間シート!$D$187:$K$276,8)</f>
        <v/>
      </c>
      <c r="J67" s="248" t="str">
        <f t="shared" si="0"/>
        <v/>
      </c>
      <c r="K67" s="248"/>
      <c r="L67" s="248"/>
      <c r="M67" s="248"/>
      <c r="N67" s="260" t="str">
        <f>IF($A67&lt;&gt;9999,IF($C67=2,VLOOKUP($A67,中間シート!$D$187:$T$276,14,FALSE),VLOOKUP($A67,中間シート!$D$187:$T$276,9,FALSE)),"")</f>
        <v/>
      </c>
      <c r="O67" s="261"/>
      <c r="P67" s="261"/>
      <c r="Q67" s="261"/>
      <c r="R67" s="261"/>
      <c r="S67" s="261"/>
      <c r="T67" s="262"/>
      <c r="U67" s="258" t="s">
        <v>516</v>
      </c>
      <c r="V67" s="259"/>
      <c r="W67" s="260" t="str">
        <f>IF($A67&lt;&gt;9999,IF($C67=2,VLOOKUP($A67,中間シート!$D$187:$T$276,15,FALSE),VLOOKUP($A67,中間シート!$D$187:$T$276,10,FALSE)),"")</f>
        <v/>
      </c>
      <c r="X67" s="261"/>
      <c r="Y67" s="261"/>
      <c r="Z67" s="261"/>
      <c r="AA67" s="261"/>
      <c r="AB67" s="261"/>
      <c r="AC67" s="262"/>
      <c r="AD67" s="258" t="s">
        <v>516</v>
      </c>
      <c r="AE67" s="259"/>
      <c r="AF67" s="75" t="str">
        <f>IF($A67&lt;&gt;9999,IF($C67=2,VLOOKUP($A67,中間シート!$D$187:$T$276,16,FALSE),VLOOKUP($A67,中間シート!$D$187:$T$276,11,FALSE)),"")</f>
        <v/>
      </c>
      <c r="AG67" s="70"/>
      <c r="AH67" s="70"/>
      <c r="AI67" s="70"/>
      <c r="AJ67" s="70"/>
      <c r="AK67" s="71"/>
    </row>
    <row r="68" spans="1:37" ht="16.5" customHeight="1" x14ac:dyDescent="0.2">
      <c r="A68" s="20">
        <f>中間シート!AI208</f>
        <v>9999</v>
      </c>
      <c r="B68" s="20" t="str">
        <f>中間シート!AK208</f>
        <v>事業場99</v>
      </c>
      <c r="C68" s="20" t="e">
        <f>中間シート!AJ208</f>
        <v>#N/A</v>
      </c>
      <c r="D68" s="20" t="str">
        <f>VLOOKUP($A68,中間シート!$D$187:$K$276,4)</f>
        <v/>
      </c>
      <c r="E68" s="20" t="str">
        <f>VLOOKUP($A68,中間シート!$D$187:$K$276,5)</f>
        <v/>
      </c>
      <c r="F68" s="20" t="str">
        <f>VLOOKUP($A68,中間シート!$D$187:$K$276,6)</f>
        <v/>
      </c>
      <c r="G68" s="20" t="str">
        <f>VLOOKUP($A68,中間シート!$D$187:$K$276,7)</f>
        <v/>
      </c>
      <c r="H68" s="20" t="str">
        <f>VLOOKUP($A68,中間シート!$D$187:$K$276,8)</f>
        <v/>
      </c>
      <c r="J68" s="248" t="str">
        <f t="shared" si="0"/>
        <v/>
      </c>
      <c r="K68" s="248"/>
      <c r="L68" s="248"/>
      <c r="M68" s="248"/>
      <c r="N68" s="260" t="str">
        <f>IF($A68&lt;&gt;9999,IF($C68=2,VLOOKUP($A68,中間シート!$D$187:$T$276,14,FALSE),VLOOKUP($A68,中間シート!$D$187:$T$276,9,FALSE)),"")</f>
        <v/>
      </c>
      <c r="O68" s="261"/>
      <c r="P68" s="261"/>
      <c r="Q68" s="261"/>
      <c r="R68" s="261"/>
      <c r="S68" s="261"/>
      <c r="T68" s="262"/>
      <c r="U68" s="258" t="s">
        <v>516</v>
      </c>
      <c r="V68" s="259"/>
      <c r="W68" s="260" t="str">
        <f>IF($A68&lt;&gt;9999,IF($C68=2,VLOOKUP($A68,中間シート!$D$187:$T$276,15,FALSE),VLOOKUP($A68,中間シート!$D$187:$T$276,10,FALSE)),"")</f>
        <v/>
      </c>
      <c r="X68" s="261"/>
      <c r="Y68" s="261"/>
      <c r="Z68" s="261"/>
      <c r="AA68" s="261"/>
      <c r="AB68" s="261"/>
      <c r="AC68" s="262"/>
      <c r="AD68" s="258" t="s">
        <v>516</v>
      </c>
      <c r="AE68" s="259"/>
      <c r="AF68" s="75" t="str">
        <f>IF($A68&lt;&gt;9999,IF($C68=2,VLOOKUP($A68,中間シート!$D$187:$T$276,16,FALSE),VLOOKUP($A68,中間シート!$D$187:$T$276,11,FALSE)),"")</f>
        <v/>
      </c>
      <c r="AG68" s="70"/>
      <c r="AH68" s="70"/>
      <c r="AI68" s="70"/>
      <c r="AJ68" s="70"/>
      <c r="AK68" s="71"/>
    </row>
    <row r="69" spans="1:37" ht="16.5" customHeight="1" x14ac:dyDescent="0.2">
      <c r="A69" s="20">
        <f>中間シート!AI209</f>
        <v>9999</v>
      </c>
      <c r="B69" s="20" t="str">
        <f>中間シート!AK209</f>
        <v>事業場99</v>
      </c>
      <c r="C69" s="20" t="e">
        <f>中間シート!AJ209</f>
        <v>#N/A</v>
      </c>
      <c r="D69" s="20" t="str">
        <f>VLOOKUP($A69,中間シート!$D$187:$K$276,4)</f>
        <v/>
      </c>
      <c r="E69" s="20" t="str">
        <f>VLOOKUP($A69,中間シート!$D$187:$K$276,5)</f>
        <v/>
      </c>
      <c r="F69" s="20" t="str">
        <f>VLOOKUP($A69,中間シート!$D$187:$K$276,6)</f>
        <v/>
      </c>
      <c r="G69" s="20" t="str">
        <f>VLOOKUP($A69,中間シート!$D$187:$K$276,7)</f>
        <v/>
      </c>
      <c r="H69" s="20" t="str">
        <f>VLOOKUP($A69,中間シート!$D$187:$K$276,8)</f>
        <v/>
      </c>
      <c r="J69" s="248" t="str">
        <f t="shared" si="0"/>
        <v/>
      </c>
      <c r="K69" s="248"/>
      <c r="L69" s="248"/>
      <c r="M69" s="248"/>
      <c r="N69" s="260" t="str">
        <f>IF($A69&lt;&gt;9999,IF($C69=2,VLOOKUP($A69,中間シート!$D$187:$T$276,14,FALSE),VLOOKUP($A69,中間シート!$D$187:$T$276,9,FALSE)),"")</f>
        <v/>
      </c>
      <c r="O69" s="261"/>
      <c r="P69" s="261"/>
      <c r="Q69" s="261"/>
      <c r="R69" s="261"/>
      <c r="S69" s="261"/>
      <c r="T69" s="262"/>
      <c r="U69" s="258" t="s">
        <v>516</v>
      </c>
      <c r="V69" s="259"/>
      <c r="W69" s="260" t="str">
        <f>IF($A69&lt;&gt;9999,IF($C69=2,VLOOKUP($A69,中間シート!$D$187:$T$276,15,FALSE),VLOOKUP($A69,中間シート!$D$187:$T$276,10,FALSE)),"")</f>
        <v/>
      </c>
      <c r="X69" s="261"/>
      <c r="Y69" s="261"/>
      <c r="Z69" s="261"/>
      <c r="AA69" s="261"/>
      <c r="AB69" s="261"/>
      <c r="AC69" s="262"/>
      <c r="AD69" s="258" t="s">
        <v>516</v>
      </c>
      <c r="AE69" s="259"/>
      <c r="AF69" s="75" t="str">
        <f>IF($A69&lt;&gt;9999,IF($C69=2,VLOOKUP($A69,中間シート!$D$187:$T$276,16,FALSE),VLOOKUP($A69,中間シート!$D$187:$T$276,11,FALSE)),"")</f>
        <v/>
      </c>
      <c r="AG69" s="70"/>
      <c r="AH69" s="70"/>
      <c r="AI69" s="70"/>
      <c r="AJ69" s="70"/>
      <c r="AK69" s="71"/>
    </row>
    <row r="70" spans="1:37" ht="16.5" customHeight="1" x14ac:dyDescent="0.2">
      <c r="A70" s="20">
        <f>中間シート!AI210</f>
        <v>9999</v>
      </c>
      <c r="B70" s="20" t="str">
        <f>中間シート!AK210</f>
        <v>事業場99</v>
      </c>
      <c r="C70" s="20" t="e">
        <f>中間シート!AJ210</f>
        <v>#N/A</v>
      </c>
      <c r="D70" s="20" t="str">
        <f>VLOOKUP($A70,中間シート!$D$187:$K$276,4)</f>
        <v/>
      </c>
      <c r="E70" s="20" t="str">
        <f>VLOOKUP($A70,中間シート!$D$187:$K$276,5)</f>
        <v/>
      </c>
      <c r="F70" s="20" t="str">
        <f>VLOOKUP($A70,中間シート!$D$187:$K$276,6)</f>
        <v/>
      </c>
      <c r="G70" s="20" t="str">
        <f>VLOOKUP($A70,中間シート!$D$187:$K$276,7)</f>
        <v/>
      </c>
      <c r="H70" s="20" t="str">
        <f>VLOOKUP($A70,中間シート!$D$187:$K$276,8)</f>
        <v/>
      </c>
      <c r="J70" s="248" t="str">
        <f t="shared" si="0"/>
        <v/>
      </c>
      <c r="K70" s="248"/>
      <c r="L70" s="248"/>
      <c r="M70" s="248"/>
      <c r="N70" s="260" t="str">
        <f>IF($A70&lt;&gt;9999,IF($C70=2,VLOOKUP($A70,中間シート!$D$187:$T$276,14,FALSE),VLOOKUP($A70,中間シート!$D$187:$T$276,9,FALSE)),"")</f>
        <v/>
      </c>
      <c r="O70" s="261"/>
      <c r="P70" s="261"/>
      <c r="Q70" s="261"/>
      <c r="R70" s="261"/>
      <c r="S70" s="261"/>
      <c r="T70" s="262"/>
      <c r="U70" s="258" t="s">
        <v>516</v>
      </c>
      <c r="V70" s="259"/>
      <c r="W70" s="260" t="str">
        <f>IF($A70&lt;&gt;9999,IF($C70=2,VLOOKUP($A70,中間シート!$D$187:$T$276,15,FALSE),VLOOKUP($A70,中間シート!$D$187:$T$276,10,FALSE)),"")</f>
        <v/>
      </c>
      <c r="X70" s="261"/>
      <c r="Y70" s="261"/>
      <c r="Z70" s="261"/>
      <c r="AA70" s="261"/>
      <c r="AB70" s="261"/>
      <c r="AC70" s="262"/>
      <c r="AD70" s="258" t="s">
        <v>516</v>
      </c>
      <c r="AE70" s="259"/>
      <c r="AF70" s="75" t="str">
        <f>IF($A70&lt;&gt;9999,IF($C70=2,VLOOKUP($A70,中間シート!$D$187:$T$276,16,FALSE),VLOOKUP($A70,中間シート!$D$187:$T$276,11,FALSE)),"")</f>
        <v/>
      </c>
      <c r="AG70" s="70"/>
      <c r="AH70" s="70"/>
      <c r="AI70" s="70"/>
      <c r="AJ70" s="70"/>
      <c r="AK70" s="71"/>
    </row>
    <row r="71" spans="1:37" ht="16.5" customHeight="1" x14ac:dyDescent="0.2">
      <c r="A71" s="20">
        <f>中間シート!AI211</f>
        <v>9999</v>
      </c>
      <c r="B71" s="20" t="str">
        <f>中間シート!AK211</f>
        <v>事業場99</v>
      </c>
      <c r="C71" s="20" t="e">
        <f>中間シート!AJ211</f>
        <v>#N/A</v>
      </c>
      <c r="D71" s="20" t="str">
        <f>VLOOKUP($A71,中間シート!$D$187:$K$276,4)</f>
        <v/>
      </c>
      <c r="E71" s="20" t="str">
        <f>VLOOKUP($A71,中間シート!$D$187:$K$276,5)</f>
        <v/>
      </c>
      <c r="F71" s="20" t="str">
        <f>VLOOKUP($A71,中間シート!$D$187:$K$276,6)</f>
        <v/>
      </c>
      <c r="G71" s="20" t="str">
        <f>VLOOKUP($A71,中間シート!$D$187:$K$276,7)</f>
        <v/>
      </c>
      <c r="H71" s="20" t="str">
        <f>VLOOKUP($A71,中間シート!$D$187:$K$276,8)</f>
        <v/>
      </c>
      <c r="J71" s="248" t="str">
        <f t="shared" si="0"/>
        <v/>
      </c>
      <c r="K71" s="248"/>
      <c r="L71" s="248"/>
      <c r="M71" s="248"/>
      <c r="N71" s="260" t="str">
        <f>IF($A71&lt;&gt;9999,IF($C71=2,VLOOKUP($A71,中間シート!$D$187:$T$276,14,FALSE),VLOOKUP($A71,中間シート!$D$187:$T$276,9,FALSE)),"")</f>
        <v/>
      </c>
      <c r="O71" s="261"/>
      <c r="P71" s="261"/>
      <c r="Q71" s="261"/>
      <c r="R71" s="261"/>
      <c r="S71" s="261"/>
      <c r="T71" s="262"/>
      <c r="U71" s="258" t="s">
        <v>516</v>
      </c>
      <c r="V71" s="259"/>
      <c r="W71" s="260" t="str">
        <f>IF($A71&lt;&gt;9999,IF($C71=2,VLOOKUP($A71,中間シート!$D$187:$T$276,15,FALSE),VLOOKUP($A71,中間シート!$D$187:$T$276,10,FALSE)),"")</f>
        <v/>
      </c>
      <c r="X71" s="261"/>
      <c r="Y71" s="261"/>
      <c r="Z71" s="261"/>
      <c r="AA71" s="261"/>
      <c r="AB71" s="261"/>
      <c r="AC71" s="262"/>
      <c r="AD71" s="258" t="s">
        <v>516</v>
      </c>
      <c r="AE71" s="259"/>
      <c r="AF71" s="75" t="str">
        <f>IF($A71&lt;&gt;9999,IF($C71=2,VLOOKUP($A71,中間シート!$D$187:$T$276,16,FALSE),VLOOKUP($A71,中間シート!$D$187:$T$276,11,FALSE)),"")</f>
        <v/>
      </c>
      <c r="AG71" s="70"/>
      <c r="AH71" s="70"/>
      <c r="AI71" s="70"/>
      <c r="AJ71" s="70"/>
      <c r="AK71" s="71"/>
    </row>
    <row r="72" spans="1:37" ht="16.5" customHeight="1" x14ac:dyDescent="0.2">
      <c r="A72" s="20">
        <f>中間シート!AI212</f>
        <v>9999</v>
      </c>
      <c r="B72" s="20" t="str">
        <f>中間シート!AK212</f>
        <v>事業場99</v>
      </c>
      <c r="C72" s="20" t="e">
        <f>中間シート!AJ212</f>
        <v>#N/A</v>
      </c>
      <c r="D72" s="20" t="str">
        <f>VLOOKUP($A72,中間シート!$D$187:$K$276,4)</f>
        <v/>
      </c>
      <c r="E72" s="20" t="str">
        <f>VLOOKUP($A72,中間シート!$D$187:$K$276,5)</f>
        <v/>
      </c>
      <c r="F72" s="20" t="str">
        <f>VLOOKUP($A72,中間シート!$D$187:$K$276,6)</f>
        <v/>
      </c>
      <c r="G72" s="20" t="str">
        <f>VLOOKUP($A72,中間シート!$D$187:$K$276,7)</f>
        <v/>
      </c>
      <c r="H72" s="20" t="str">
        <f>VLOOKUP($A72,中間シート!$D$187:$K$276,8)</f>
        <v/>
      </c>
      <c r="J72" s="248" t="str">
        <f t="shared" si="0"/>
        <v/>
      </c>
      <c r="K72" s="248"/>
      <c r="L72" s="248"/>
      <c r="M72" s="248"/>
      <c r="N72" s="260" t="str">
        <f>IF($A72&lt;&gt;9999,IF($C72=2,VLOOKUP($A72,中間シート!$D$187:$T$276,14,FALSE),VLOOKUP($A72,中間シート!$D$187:$T$276,9,FALSE)),"")</f>
        <v/>
      </c>
      <c r="O72" s="261"/>
      <c r="P72" s="261"/>
      <c r="Q72" s="261"/>
      <c r="R72" s="261"/>
      <c r="S72" s="261"/>
      <c r="T72" s="262"/>
      <c r="U72" s="258" t="s">
        <v>516</v>
      </c>
      <c r="V72" s="259"/>
      <c r="W72" s="260" t="str">
        <f>IF($A72&lt;&gt;9999,IF($C72=2,VLOOKUP($A72,中間シート!$D$187:$T$276,15,FALSE),VLOOKUP($A72,中間シート!$D$187:$T$276,10,FALSE)),"")</f>
        <v/>
      </c>
      <c r="X72" s="261"/>
      <c r="Y72" s="261"/>
      <c r="Z72" s="261"/>
      <c r="AA72" s="261"/>
      <c r="AB72" s="261"/>
      <c r="AC72" s="262"/>
      <c r="AD72" s="258" t="s">
        <v>516</v>
      </c>
      <c r="AE72" s="259"/>
      <c r="AF72" s="75" t="str">
        <f>IF($A72&lt;&gt;9999,IF($C72=2,VLOOKUP($A72,中間シート!$D$187:$T$276,16,FALSE),VLOOKUP($A72,中間シート!$D$187:$T$276,11,FALSE)),"")</f>
        <v/>
      </c>
      <c r="AG72" s="70"/>
      <c r="AH72" s="70"/>
      <c r="AI72" s="70"/>
      <c r="AJ72" s="70"/>
      <c r="AK72" s="71"/>
    </row>
    <row r="73" spans="1:37" ht="16.5" customHeight="1" x14ac:dyDescent="0.2">
      <c r="A73" s="20">
        <f>中間シート!AI213</f>
        <v>9999</v>
      </c>
      <c r="B73" s="20" t="str">
        <f>中間シート!AK213</f>
        <v>事業場99</v>
      </c>
      <c r="C73" s="20" t="e">
        <f>中間シート!AJ213</f>
        <v>#N/A</v>
      </c>
      <c r="D73" s="20" t="str">
        <f>VLOOKUP($A73,中間シート!$D$187:$K$276,4)</f>
        <v/>
      </c>
      <c r="E73" s="20" t="str">
        <f>VLOOKUP($A73,中間シート!$D$187:$K$276,5)</f>
        <v/>
      </c>
      <c r="F73" s="20" t="str">
        <f>VLOOKUP($A73,中間シート!$D$187:$K$276,6)</f>
        <v/>
      </c>
      <c r="G73" s="20" t="str">
        <f>VLOOKUP($A73,中間シート!$D$187:$K$276,7)</f>
        <v/>
      </c>
      <c r="H73" s="20" t="str">
        <f>VLOOKUP($A73,中間シート!$D$187:$K$276,8)</f>
        <v/>
      </c>
      <c r="J73" s="248" t="str">
        <f t="shared" si="0"/>
        <v/>
      </c>
      <c r="K73" s="248"/>
      <c r="L73" s="248"/>
      <c r="M73" s="248"/>
      <c r="N73" s="260" t="str">
        <f>IF($A73&lt;&gt;9999,IF($C73=2,VLOOKUP($A73,中間シート!$D$187:$T$276,14,FALSE),VLOOKUP($A73,中間シート!$D$187:$T$276,9,FALSE)),"")</f>
        <v/>
      </c>
      <c r="O73" s="261"/>
      <c r="P73" s="261"/>
      <c r="Q73" s="261"/>
      <c r="R73" s="261"/>
      <c r="S73" s="261"/>
      <c r="T73" s="262"/>
      <c r="U73" s="258" t="s">
        <v>516</v>
      </c>
      <c r="V73" s="259"/>
      <c r="W73" s="260" t="str">
        <f>IF($A73&lt;&gt;9999,IF($C73=2,VLOOKUP($A73,中間シート!$D$187:$T$276,15,FALSE),VLOOKUP($A73,中間シート!$D$187:$T$276,10,FALSE)),"")</f>
        <v/>
      </c>
      <c r="X73" s="261"/>
      <c r="Y73" s="261"/>
      <c r="Z73" s="261"/>
      <c r="AA73" s="261"/>
      <c r="AB73" s="261"/>
      <c r="AC73" s="262"/>
      <c r="AD73" s="258" t="s">
        <v>516</v>
      </c>
      <c r="AE73" s="259"/>
      <c r="AF73" s="75" t="str">
        <f>IF($A73&lt;&gt;9999,IF($C73=2,VLOOKUP($A73,中間シート!$D$187:$T$276,16,FALSE),VLOOKUP($A73,中間シート!$D$187:$T$276,11,FALSE)),"")</f>
        <v/>
      </c>
      <c r="AG73" s="70"/>
      <c r="AH73" s="70"/>
      <c r="AI73" s="70"/>
      <c r="AJ73" s="70"/>
      <c r="AK73" s="71"/>
    </row>
    <row r="74" spans="1:37" ht="16.5" customHeight="1" x14ac:dyDescent="0.2">
      <c r="A74" s="20">
        <f>中間シート!AI214</f>
        <v>9999</v>
      </c>
      <c r="B74" s="20" t="str">
        <f>中間シート!AK214</f>
        <v>事業場99</v>
      </c>
      <c r="C74" s="20" t="e">
        <f>中間シート!AJ214</f>
        <v>#N/A</v>
      </c>
      <c r="D74" s="20" t="str">
        <f>VLOOKUP($A74,中間シート!$D$187:$K$276,4)</f>
        <v/>
      </c>
      <c r="E74" s="20" t="str">
        <f>VLOOKUP($A74,中間シート!$D$187:$K$276,5)</f>
        <v/>
      </c>
      <c r="F74" s="20" t="str">
        <f>VLOOKUP($A74,中間シート!$D$187:$K$276,6)</f>
        <v/>
      </c>
      <c r="G74" s="20" t="str">
        <f>VLOOKUP($A74,中間シート!$D$187:$K$276,7)</f>
        <v/>
      </c>
      <c r="H74" s="20" t="str">
        <f>VLOOKUP($A74,中間シート!$D$187:$K$276,8)</f>
        <v/>
      </c>
      <c r="J74" s="248" t="str">
        <f t="shared" si="0"/>
        <v/>
      </c>
      <c r="K74" s="248"/>
      <c r="L74" s="248"/>
      <c r="M74" s="248"/>
      <c r="N74" s="260" t="str">
        <f>IF($A74&lt;&gt;9999,IF($C74=2,VLOOKUP($A74,中間シート!$D$187:$T$276,14,FALSE),VLOOKUP($A74,中間シート!$D$187:$T$276,9,FALSE)),"")</f>
        <v/>
      </c>
      <c r="O74" s="261"/>
      <c r="P74" s="261"/>
      <c r="Q74" s="261"/>
      <c r="R74" s="261"/>
      <c r="S74" s="261"/>
      <c r="T74" s="262"/>
      <c r="U74" s="258" t="s">
        <v>516</v>
      </c>
      <c r="V74" s="259"/>
      <c r="W74" s="260" t="str">
        <f>IF($A74&lt;&gt;9999,IF($C74=2,VLOOKUP($A74,中間シート!$D$187:$T$276,15,FALSE),VLOOKUP($A74,中間シート!$D$187:$T$276,10,FALSE)),"")</f>
        <v/>
      </c>
      <c r="X74" s="261"/>
      <c r="Y74" s="261"/>
      <c r="Z74" s="261"/>
      <c r="AA74" s="261"/>
      <c r="AB74" s="261"/>
      <c r="AC74" s="262"/>
      <c r="AD74" s="258" t="s">
        <v>516</v>
      </c>
      <c r="AE74" s="259"/>
      <c r="AF74" s="75" t="str">
        <f>IF($A74&lt;&gt;9999,IF($C74=2,VLOOKUP($A74,中間シート!$D$187:$T$276,16,FALSE),VLOOKUP($A74,中間シート!$D$187:$T$276,11,FALSE)),"")</f>
        <v/>
      </c>
      <c r="AG74" s="70"/>
      <c r="AH74" s="70"/>
      <c r="AI74" s="70"/>
      <c r="AJ74" s="70"/>
      <c r="AK74" s="71"/>
    </row>
    <row r="75" spans="1:37" ht="16.5" customHeight="1" x14ac:dyDescent="0.2">
      <c r="A75" s="20">
        <f>中間シート!AI215</f>
        <v>9999</v>
      </c>
      <c r="B75" s="20" t="str">
        <f>中間シート!AK215</f>
        <v>事業場99</v>
      </c>
      <c r="C75" s="20" t="e">
        <f>中間シート!AJ215</f>
        <v>#N/A</v>
      </c>
      <c r="D75" s="20" t="str">
        <f>VLOOKUP($A75,中間シート!$D$187:$K$276,4)</f>
        <v/>
      </c>
      <c r="E75" s="20" t="str">
        <f>VLOOKUP($A75,中間シート!$D$187:$K$276,5)</f>
        <v/>
      </c>
      <c r="F75" s="20" t="str">
        <f>VLOOKUP($A75,中間シート!$D$187:$K$276,6)</f>
        <v/>
      </c>
      <c r="G75" s="20" t="str">
        <f>VLOOKUP($A75,中間シート!$D$187:$K$276,7)</f>
        <v/>
      </c>
      <c r="H75" s="20" t="str">
        <f>VLOOKUP($A75,中間シート!$D$187:$K$276,8)</f>
        <v/>
      </c>
      <c r="J75" s="248" t="str">
        <f t="shared" si="0"/>
        <v/>
      </c>
      <c r="K75" s="248"/>
      <c r="L75" s="248"/>
      <c r="M75" s="248"/>
      <c r="N75" s="260" t="str">
        <f>IF($A75&lt;&gt;9999,IF($C75=2,VLOOKUP($A75,中間シート!$D$187:$T$276,14,FALSE),VLOOKUP($A75,中間シート!$D$187:$T$276,9,FALSE)),"")</f>
        <v/>
      </c>
      <c r="O75" s="261"/>
      <c r="P75" s="261"/>
      <c r="Q75" s="261"/>
      <c r="R75" s="261"/>
      <c r="S75" s="261"/>
      <c r="T75" s="262"/>
      <c r="U75" s="258" t="s">
        <v>516</v>
      </c>
      <c r="V75" s="259"/>
      <c r="W75" s="260" t="str">
        <f>IF($A75&lt;&gt;9999,IF($C75=2,VLOOKUP($A75,中間シート!$D$187:$T$276,15,FALSE),VLOOKUP($A75,中間シート!$D$187:$T$276,10,FALSE)),"")</f>
        <v/>
      </c>
      <c r="X75" s="261"/>
      <c r="Y75" s="261"/>
      <c r="Z75" s="261"/>
      <c r="AA75" s="261"/>
      <c r="AB75" s="261"/>
      <c r="AC75" s="262"/>
      <c r="AD75" s="258" t="s">
        <v>516</v>
      </c>
      <c r="AE75" s="259"/>
      <c r="AF75" s="75" t="str">
        <f>IF($A75&lt;&gt;9999,IF($C75=2,VLOOKUP($A75,中間シート!$D$187:$T$276,16,FALSE),VLOOKUP($A75,中間シート!$D$187:$T$276,11,FALSE)),"")</f>
        <v/>
      </c>
      <c r="AG75" s="70"/>
      <c r="AH75" s="70"/>
      <c r="AI75" s="70"/>
      <c r="AJ75" s="70"/>
      <c r="AK75" s="71"/>
    </row>
    <row r="76" spans="1:37" ht="16.5" customHeight="1" x14ac:dyDescent="0.2">
      <c r="A76" s="20">
        <f>中間シート!AI216</f>
        <v>9999</v>
      </c>
      <c r="B76" s="20" t="str">
        <f>中間シート!AK216</f>
        <v>事業場99</v>
      </c>
      <c r="C76" s="20" t="e">
        <f>中間シート!AJ216</f>
        <v>#N/A</v>
      </c>
      <c r="D76" s="20" t="str">
        <f>VLOOKUP($A76,中間シート!$D$187:$K$276,4)</f>
        <v/>
      </c>
      <c r="E76" s="20" t="str">
        <f>VLOOKUP($A76,中間シート!$D$187:$K$276,5)</f>
        <v/>
      </c>
      <c r="F76" s="20" t="str">
        <f>VLOOKUP($A76,中間シート!$D$187:$K$276,6)</f>
        <v/>
      </c>
      <c r="G76" s="20" t="str">
        <f>VLOOKUP($A76,中間シート!$D$187:$K$276,7)</f>
        <v/>
      </c>
      <c r="H76" s="20" t="str">
        <f>VLOOKUP($A76,中間シート!$D$187:$K$276,8)</f>
        <v/>
      </c>
      <c r="J76" s="248" t="str">
        <f t="shared" si="0"/>
        <v/>
      </c>
      <c r="K76" s="248"/>
      <c r="L76" s="248"/>
      <c r="M76" s="248"/>
      <c r="N76" s="260" t="str">
        <f>IF($A76&lt;&gt;9999,IF($C76=2,VLOOKUP($A76,中間シート!$D$187:$T$276,14,FALSE),VLOOKUP($A76,中間シート!$D$187:$T$276,9,FALSE)),"")</f>
        <v/>
      </c>
      <c r="O76" s="261"/>
      <c r="P76" s="261"/>
      <c r="Q76" s="261"/>
      <c r="R76" s="261"/>
      <c r="S76" s="261"/>
      <c r="T76" s="262"/>
      <c r="U76" s="258" t="s">
        <v>516</v>
      </c>
      <c r="V76" s="259"/>
      <c r="W76" s="260" t="str">
        <f>IF($A76&lt;&gt;9999,IF($C76=2,VLOOKUP($A76,中間シート!$D$187:$T$276,15,FALSE),VLOOKUP($A76,中間シート!$D$187:$T$276,10,FALSE)),"")</f>
        <v/>
      </c>
      <c r="X76" s="261"/>
      <c r="Y76" s="261"/>
      <c r="Z76" s="261"/>
      <c r="AA76" s="261"/>
      <c r="AB76" s="261"/>
      <c r="AC76" s="262"/>
      <c r="AD76" s="258" t="s">
        <v>516</v>
      </c>
      <c r="AE76" s="259"/>
      <c r="AF76" s="75" t="str">
        <f>IF($A76&lt;&gt;9999,IF($C76=2,VLOOKUP($A76,中間シート!$D$187:$T$276,16,FALSE),VLOOKUP($A76,中間シート!$D$187:$T$276,11,FALSE)),"")</f>
        <v/>
      </c>
      <c r="AG76" s="70"/>
      <c r="AH76" s="70"/>
      <c r="AI76" s="70"/>
      <c r="AJ76" s="70"/>
      <c r="AK76" s="71"/>
    </row>
    <row r="77" spans="1:37" ht="16.5" customHeight="1" x14ac:dyDescent="0.2">
      <c r="A77" s="20">
        <f>中間シート!AI217</f>
        <v>9999</v>
      </c>
      <c r="B77" s="20" t="str">
        <f>中間シート!AK217</f>
        <v>事業場99</v>
      </c>
      <c r="C77" s="20" t="e">
        <f>中間シート!AJ217</f>
        <v>#N/A</v>
      </c>
      <c r="D77" s="20" t="str">
        <f>VLOOKUP($A77,中間シート!$D$187:$K$276,4)</f>
        <v/>
      </c>
      <c r="E77" s="20" t="str">
        <f>VLOOKUP($A77,中間シート!$D$187:$K$276,5)</f>
        <v/>
      </c>
      <c r="F77" s="20" t="str">
        <f>VLOOKUP($A77,中間シート!$D$187:$K$276,6)</f>
        <v/>
      </c>
      <c r="G77" s="20" t="str">
        <f>VLOOKUP($A77,中間シート!$D$187:$K$276,7)</f>
        <v/>
      </c>
      <c r="H77" s="20" t="str">
        <f>VLOOKUP($A77,中間シート!$D$187:$K$276,8)</f>
        <v/>
      </c>
      <c r="J77" s="248" t="str">
        <f t="shared" si="0"/>
        <v/>
      </c>
      <c r="K77" s="248"/>
      <c r="L77" s="248"/>
      <c r="M77" s="248"/>
      <c r="N77" s="260" t="str">
        <f>IF($A77&lt;&gt;9999,IF($C77=2,VLOOKUP($A77,中間シート!$D$187:$T$276,14,FALSE),VLOOKUP($A77,中間シート!$D$187:$T$276,9,FALSE)),"")</f>
        <v/>
      </c>
      <c r="O77" s="261"/>
      <c r="P77" s="261"/>
      <c r="Q77" s="261"/>
      <c r="R77" s="261"/>
      <c r="S77" s="261"/>
      <c r="T77" s="262"/>
      <c r="U77" s="258" t="s">
        <v>516</v>
      </c>
      <c r="V77" s="259"/>
      <c r="W77" s="260" t="str">
        <f>IF($A77&lt;&gt;9999,IF($C77=2,VLOOKUP($A77,中間シート!$D$187:$T$276,15,FALSE),VLOOKUP($A77,中間シート!$D$187:$T$276,10,FALSE)),"")</f>
        <v/>
      </c>
      <c r="X77" s="261"/>
      <c r="Y77" s="261"/>
      <c r="Z77" s="261"/>
      <c r="AA77" s="261"/>
      <c r="AB77" s="261"/>
      <c r="AC77" s="262"/>
      <c r="AD77" s="258" t="s">
        <v>516</v>
      </c>
      <c r="AE77" s="259"/>
      <c r="AF77" s="75" t="str">
        <f>IF($A77&lt;&gt;9999,IF($C77=2,VLOOKUP($A77,中間シート!$D$187:$T$276,16,FALSE),VLOOKUP($A77,中間シート!$D$187:$T$276,11,FALSE)),"")</f>
        <v/>
      </c>
      <c r="AG77" s="70"/>
      <c r="AH77" s="70"/>
      <c r="AI77" s="70"/>
      <c r="AJ77" s="70"/>
      <c r="AK77" s="71"/>
    </row>
    <row r="78" spans="1:37" ht="16.5" customHeight="1" x14ac:dyDescent="0.2">
      <c r="A78" s="20">
        <f>中間シート!AI218</f>
        <v>9999</v>
      </c>
      <c r="B78" s="20" t="str">
        <f>中間シート!AK218</f>
        <v>事業場99</v>
      </c>
      <c r="C78" s="20" t="e">
        <f>中間シート!AJ218</f>
        <v>#N/A</v>
      </c>
      <c r="D78" s="20" t="str">
        <f>VLOOKUP($A78,中間シート!$D$187:$K$276,4)</f>
        <v/>
      </c>
      <c r="E78" s="20" t="str">
        <f>VLOOKUP($A78,中間シート!$D$187:$K$276,5)</f>
        <v/>
      </c>
      <c r="F78" s="20" t="str">
        <f>VLOOKUP($A78,中間シート!$D$187:$K$276,6)</f>
        <v/>
      </c>
      <c r="G78" s="20" t="str">
        <f>VLOOKUP($A78,中間シート!$D$187:$K$276,7)</f>
        <v/>
      </c>
      <c r="H78" s="20" t="str">
        <f>VLOOKUP($A78,中間シート!$D$187:$K$276,8)</f>
        <v/>
      </c>
      <c r="J78" s="248" t="str">
        <f t="shared" si="0"/>
        <v/>
      </c>
      <c r="K78" s="248"/>
      <c r="L78" s="248"/>
      <c r="M78" s="248"/>
      <c r="N78" s="260" t="str">
        <f>IF($A78&lt;&gt;9999,IF($C78=2,VLOOKUP($A78,中間シート!$D$187:$T$276,14,FALSE),VLOOKUP($A78,中間シート!$D$187:$T$276,9,FALSE)),"")</f>
        <v/>
      </c>
      <c r="O78" s="261"/>
      <c r="P78" s="261"/>
      <c r="Q78" s="261"/>
      <c r="R78" s="261"/>
      <c r="S78" s="261"/>
      <c r="T78" s="262"/>
      <c r="U78" s="258" t="s">
        <v>516</v>
      </c>
      <c r="V78" s="259"/>
      <c r="W78" s="260" t="str">
        <f>IF($A78&lt;&gt;9999,IF($C78=2,VLOOKUP($A78,中間シート!$D$187:$T$276,15,FALSE),VLOOKUP($A78,中間シート!$D$187:$T$276,10,FALSE)),"")</f>
        <v/>
      </c>
      <c r="X78" s="261"/>
      <c r="Y78" s="261"/>
      <c r="Z78" s="261"/>
      <c r="AA78" s="261"/>
      <c r="AB78" s="261"/>
      <c r="AC78" s="262"/>
      <c r="AD78" s="258" t="s">
        <v>516</v>
      </c>
      <c r="AE78" s="259"/>
      <c r="AF78" s="75" t="str">
        <f>IF($A78&lt;&gt;9999,IF($C78=2,VLOOKUP($A78,中間シート!$D$187:$T$276,16,FALSE),VLOOKUP($A78,中間シート!$D$187:$T$276,11,FALSE)),"")</f>
        <v/>
      </c>
      <c r="AG78" s="70"/>
      <c r="AH78" s="70"/>
      <c r="AI78" s="70"/>
      <c r="AJ78" s="70"/>
      <c r="AK78" s="71"/>
    </row>
    <row r="79" spans="1:37" ht="16.5" customHeight="1" x14ac:dyDescent="0.2">
      <c r="A79" s="20">
        <f>中間シート!AI219</f>
        <v>9999</v>
      </c>
      <c r="B79" s="20" t="str">
        <f>中間シート!AK219</f>
        <v>事業場99</v>
      </c>
      <c r="C79" s="20" t="e">
        <f>中間シート!AJ219</f>
        <v>#N/A</v>
      </c>
      <c r="D79" s="20" t="str">
        <f>VLOOKUP($A79,中間シート!$D$187:$K$276,4)</f>
        <v/>
      </c>
      <c r="E79" s="20" t="str">
        <f>VLOOKUP($A79,中間シート!$D$187:$K$276,5)</f>
        <v/>
      </c>
      <c r="F79" s="20" t="str">
        <f>VLOOKUP($A79,中間シート!$D$187:$K$276,6)</f>
        <v/>
      </c>
      <c r="G79" s="20" t="str">
        <f>VLOOKUP($A79,中間シート!$D$187:$K$276,7)</f>
        <v/>
      </c>
      <c r="H79" s="20" t="str">
        <f>VLOOKUP($A79,中間シート!$D$187:$K$276,8)</f>
        <v/>
      </c>
      <c r="J79" s="248" t="str">
        <f t="shared" si="0"/>
        <v/>
      </c>
      <c r="K79" s="248"/>
      <c r="L79" s="248"/>
      <c r="M79" s="248"/>
      <c r="N79" s="260" t="str">
        <f>IF($A79&lt;&gt;9999,IF($C79=2,VLOOKUP($A79,中間シート!$D$187:$T$276,14,FALSE),VLOOKUP($A79,中間シート!$D$187:$T$276,9,FALSE)),"")</f>
        <v/>
      </c>
      <c r="O79" s="261"/>
      <c r="P79" s="261"/>
      <c r="Q79" s="261"/>
      <c r="R79" s="261"/>
      <c r="S79" s="261"/>
      <c r="T79" s="262"/>
      <c r="U79" s="258" t="s">
        <v>516</v>
      </c>
      <c r="V79" s="259"/>
      <c r="W79" s="260" t="str">
        <f>IF($A79&lt;&gt;9999,IF($C79=2,VLOOKUP($A79,中間シート!$D$187:$T$276,15,FALSE),VLOOKUP($A79,中間シート!$D$187:$T$276,10,FALSE)),"")</f>
        <v/>
      </c>
      <c r="X79" s="261"/>
      <c r="Y79" s="261"/>
      <c r="Z79" s="261"/>
      <c r="AA79" s="261"/>
      <c r="AB79" s="261"/>
      <c r="AC79" s="262"/>
      <c r="AD79" s="258" t="s">
        <v>516</v>
      </c>
      <c r="AE79" s="259"/>
      <c r="AF79" s="75" t="str">
        <f>IF($A79&lt;&gt;9999,IF($C79=2,VLOOKUP($A79,中間シート!$D$187:$T$276,16,FALSE),VLOOKUP($A79,中間シート!$D$187:$T$276,11,FALSE)),"")</f>
        <v/>
      </c>
      <c r="AG79" s="70"/>
      <c r="AH79" s="70"/>
      <c r="AI79" s="70"/>
      <c r="AJ79" s="70"/>
      <c r="AK79" s="71"/>
    </row>
    <row r="80" spans="1:37" ht="16.5" customHeight="1" x14ac:dyDescent="0.2">
      <c r="A80" s="20">
        <f>中間シート!AI220</f>
        <v>9999</v>
      </c>
      <c r="B80" s="20" t="str">
        <f>中間シート!AK220</f>
        <v>事業場99</v>
      </c>
      <c r="C80" s="20" t="e">
        <f>中間シート!AJ220</f>
        <v>#N/A</v>
      </c>
      <c r="D80" s="20" t="str">
        <f>VLOOKUP($A80,中間シート!$D$187:$K$276,4)</f>
        <v/>
      </c>
      <c r="E80" s="20" t="str">
        <f>VLOOKUP($A80,中間シート!$D$187:$K$276,5)</f>
        <v/>
      </c>
      <c r="F80" s="20" t="str">
        <f>VLOOKUP($A80,中間シート!$D$187:$K$276,6)</f>
        <v/>
      </c>
      <c r="G80" s="20" t="str">
        <f>VLOOKUP($A80,中間シート!$D$187:$K$276,7)</f>
        <v/>
      </c>
      <c r="H80" s="20" t="str">
        <f>VLOOKUP($A80,中間シート!$D$187:$K$276,8)</f>
        <v/>
      </c>
      <c r="J80" s="248" t="str">
        <f t="shared" si="0"/>
        <v/>
      </c>
      <c r="K80" s="248"/>
      <c r="L80" s="248"/>
      <c r="M80" s="248"/>
      <c r="N80" s="260" t="str">
        <f>IF($A80&lt;&gt;9999,IF($C80=2,VLOOKUP($A80,中間シート!$D$187:$T$276,14,FALSE),VLOOKUP($A80,中間シート!$D$187:$T$276,9,FALSE)),"")</f>
        <v/>
      </c>
      <c r="O80" s="261"/>
      <c r="P80" s="261"/>
      <c r="Q80" s="261"/>
      <c r="R80" s="261"/>
      <c r="S80" s="261"/>
      <c r="T80" s="262"/>
      <c r="U80" s="258" t="s">
        <v>516</v>
      </c>
      <c r="V80" s="259"/>
      <c r="W80" s="260" t="str">
        <f>IF($A80&lt;&gt;9999,IF($C80=2,VLOOKUP($A80,中間シート!$D$187:$T$276,15,FALSE),VLOOKUP($A80,中間シート!$D$187:$T$276,10,FALSE)),"")</f>
        <v/>
      </c>
      <c r="X80" s="261"/>
      <c r="Y80" s="261"/>
      <c r="Z80" s="261"/>
      <c r="AA80" s="261"/>
      <c r="AB80" s="261"/>
      <c r="AC80" s="262"/>
      <c r="AD80" s="258" t="s">
        <v>516</v>
      </c>
      <c r="AE80" s="259"/>
      <c r="AF80" s="75" t="str">
        <f>IF($A80&lt;&gt;9999,IF($C80=2,VLOOKUP($A80,中間シート!$D$187:$T$276,16,FALSE),VLOOKUP($A80,中間シート!$D$187:$T$276,11,FALSE)),"")</f>
        <v/>
      </c>
      <c r="AG80" s="70"/>
      <c r="AH80" s="70"/>
      <c r="AI80" s="70"/>
      <c r="AJ80" s="70"/>
      <c r="AK80" s="71"/>
    </row>
    <row r="81" spans="1:37" ht="16.5" customHeight="1" x14ac:dyDescent="0.2">
      <c r="A81" s="20">
        <f>中間シート!AI221</f>
        <v>9999</v>
      </c>
      <c r="B81" s="20" t="str">
        <f>中間シート!AK221</f>
        <v>事業場99</v>
      </c>
      <c r="C81" s="20" t="e">
        <f>中間シート!AJ221</f>
        <v>#N/A</v>
      </c>
      <c r="D81" s="20" t="str">
        <f>VLOOKUP($A81,中間シート!$D$187:$K$276,4)</f>
        <v/>
      </c>
      <c r="E81" s="20" t="str">
        <f>VLOOKUP($A81,中間シート!$D$187:$K$276,5)</f>
        <v/>
      </c>
      <c r="F81" s="20" t="str">
        <f>VLOOKUP($A81,中間シート!$D$187:$K$276,6)</f>
        <v/>
      </c>
      <c r="G81" s="20" t="str">
        <f>VLOOKUP($A81,中間シート!$D$187:$K$276,7)</f>
        <v/>
      </c>
      <c r="H81" s="20" t="str">
        <f>VLOOKUP($A81,中間シート!$D$187:$K$276,8)</f>
        <v/>
      </c>
      <c r="J81" s="248" t="str">
        <f t="shared" si="0"/>
        <v/>
      </c>
      <c r="K81" s="248"/>
      <c r="L81" s="248"/>
      <c r="M81" s="248"/>
      <c r="N81" s="260" t="str">
        <f>IF($A81&lt;&gt;9999,IF($C81=2,VLOOKUP($A81,中間シート!$D$187:$T$276,14,FALSE),VLOOKUP($A81,中間シート!$D$187:$T$276,9,FALSE)),"")</f>
        <v/>
      </c>
      <c r="O81" s="261"/>
      <c r="P81" s="261"/>
      <c r="Q81" s="261"/>
      <c r="R81" s="261"/>
      <c r="S81" s="261"/>
      <c r="T81" s="262"/>
      <c r="U81" s="258" t="s">
        <v>516</v>
      </c>
      <c r="V81" s="259"/>
      <c r="W81" s="260" t="str">
        <f>IF($A81&lt;&gt;9999,IF($C81=2,VLOOKUP($A81,中間シート!$D$187:$T$276,15,FALSE),VLOOKUP($A81,中間シート!$D$187:$T$276,10,FALSE)),"")</f>
        <v/>
      </c>
      <c r="X81" s="261"/>
      <c r="Y81" s="261"/>
      <c r="Z81" s="261"/>
      <c r="AA81" s="261"/>
      <c r="AB81" s="261"/>
      <c r="AC81" s="262"/>
      <c r="AD81" s="258" t="s">
        <v>516</v>
      </c>
      <c r="AE81" s="259"/>
      <c r="AF81" s="75" t="str">
        <f>IF($A81&lt;&gt;9999,IF($C81=2,VLOOKUP($A81,中間シート!$D$187:$T$276,16,FALSE),VLOOKUP($A81,中間シート!$D$187:$T$276,11,FALSE)),"")</f>
        <v/>
      </c>
      <c r="AG81" s="70"/>
      <c r="AH81" s="70"/>
      <c r="AI81" s="70"/>
      <c r="AJ81" s="70"/>
      <c r="AK81" s="71"/>
    </row>
    <row r="82" spans="1:37" ht="16.5" customHeight="1" x14ac:dyDescent="0.2">
      <c r="A82" s="20">
        <f>中間シート!AI222</f>
        <v>9999</v>
      </c>
      <c r="B82" s="20" t="str">
        <f>中間シート!AK222</f>
        <v>事業場99</v>
      </c>
      <c r="C82" s="20" t="e">
        <f>中間シート!AJ222</f>
        <v>#N/A</v>
      </c>
      <c r="D82" s="20" t="str">
        <f>VLOOKUP($A82,中間シート!$D$187:$K$276,4)</f>
        <v/>
      </c>
      <c r="E82" s="20" t="str">
        <f>VLOOKUP($A82,中間シート!$D$187:$K$276,5)</f>
        <v/>
      </c>
      <c r="F82" s="20" t="str">
        <f>VLOOKUP($A82,中間シート!$D$187:$K$276,6)</f>
        <v/>
      </c>
      <c r="G82" s="20" t="str">
        <f>VLOOKUP($A82,中間シート!$D$187:$K$276,7)</f>
        <v/>
      </c>
      <c r="H82" s="20" t="str">
        <f>VLOOKUP($A82,中間シート!$D$187:$K$276,8)</f>
        <v/>
      </c>
      <c r="J82" s="248" t="str">
        <f t="shared" si="0"/>
        <v/>
      </c>
      <c r="K82" s="248"/>
      <c r="L82" s="248"/>
      <c r="M82" s="248"/>
      <c r="N82" s="260" t="str">
        <f>IF($A82&lt;&gt;9999,IF($C82=2,VLOOKUP($A82,中間シート!$D$187:$T$276,14,FALSE),VLOOKUP($A82,中間シート!$D$187:$T$276,9,FALSE)),"")</f>
        <v/>
      </c>
      <c r="O82" s="261"/>
      <c r="P82" s="261"/>
      <c r="Q82" s="261"/>
      <c r="R82" s="261"/>
      <c r="S82" s="261"/>
      <c r="T82" s="262"/>
      <c r="U82" s="258" t="s">
        <v>516</v>
      </c>
      <c r="V82" s="259"/>
      <c r="W82" s="260" t="str">
        <f>IF($A82&lt;&gt;9999,IF($C82=2,VLOOKUP($A82,中間シート!$D$187:$T$276,15,FALSE),VLOOKUP($A82,中間シート!$D$187:$T$276,10,FALSE)),"")</f>
        <v/>
      </c>
      <c r="X82" s="261"/>
      <c r="Y82" s="261"/>
      <c r="Z82" s="261"/>
      <c r="AA82" s="261"/>
      <c r="AB82" s="261"/>
      <c r="AC82" s="262"/>
      <c r="AD82" s="258" t="s">
        <v>516</v>
      </c>
      <c r="AE82" s="259"/>
      <c r="AF82" s="75" t="str">
        <f>IF($A82&lt;&gt;9999,IF($C82=2,VLOOKUP($A82,中間シート!$D$187:$T$276,16,FALSE),VLOOKUP($A82,中間シート!$D$187:$T$276,11,FALSE)),"")</f>
        <v/>
      </c>
      <c r="AG82" s="70"/>
      <c r="AH82" s="70"/>
      <c r="AI82" s="70"/>
      <c r="AJ82" s="70"/>
      <c r="AK82" s="71"/>
    </row>
    <row r="83" spans="1:37" ht="16.5" customHeight="1" x14ac:dyDescent="0.2">
      <c r="A83" s="20">
        <f>中間シート!AI223</f>
        <v>9999</v>
      </c>
      <c r="B83" s="20" t="str">
        <f>中間シート!AK223</f>
        <v>事業場99</v>
      </c>
      <c r="C83" s="20" t="e">
        <f>中間シート!AJ223</f>
        <v>#N/A</v>
      </c>
      <c r="D83" s="20" t="str">
        <f>VLOOKUP($A83,中間シート!$D$187:$K$276,4)</f>
        <v/>
      </c>
      <c r="E83" s="20" t="str">
        <f>VLOOKUP($A83,中間シート!$D$187:$K$276,5)</f>
        <v/>
      </c>
      <c r="F83" s="20" t="str">
        <f>VLOOKUP($A83,中間シート!$D$187:$K$276,6)</f>
        <v/>
      </c>
      <c r="G83" s="20" t="str">
        <f>VLOOKUP($A83,中間シート!$D$187:$K$276,7)</f>
        <v/>
      </c>
      <c r="H83" s="20" t="str">
        <f>VLOOKUP($A83,中間シート!$D$187:$K$276,8)</f>
        <v/>
      </c>
      <c r="J83" s="248" t="str">
        <f t="shared" si="0"/>
        <v/>
      </c>
      <c r="K83" s="248"/>
      <c r="L83" s="248"/>
      <c r="M83" s="248"/>
      <c r="N83" s="260" t="str">
        <f>IF($A83&lt;&gt;9999,IF($C83=2,VLOOKUP($A83,中間シート!$D$187:$T$276,14,FALSE),VLOOKUP($A83,中間シート!$D$187:$T$276,9,FALSE)),"")</f>
        <v/>
      </c>
      <c r="O83" s="261"/>
      <c r="P83" s="261"/>
      <c r="Q83" s="261"/>
      <c r="R83" s="261"/>
      <c r="S83" s="261"/>
      <c r="T83" s="262"/>
      <c r="U83" s="258" t="s">
        <v>516</v>
      </c>
      <c r="V83" s="259"/>
      <c r="W83" s="260" t="str">
        <f>IF($A83&lt;&gt;9999,IF($C83=2,VLOOKUP($A83,中間シート!$D$187:$T$276,15,FALSE),VLOOKUP($A83,中間シート!$D$187:$T$276,10,FALSE)),"")</f>
        <v/>
      </c>
      <c r="X83" s="261"/>
      <c r="Y83" s="261"/>
      <c r="Z83" s="261"/>
      <c r="AA83" s="261"/>
      <c r="AB83" s="261"/>
      <c r="AC83" s="262"/>
      <c r="AD83" s="258" t="s">
        <v>516</v>
      </c>
      <c r="AE83" s="259"/>
      <c r="AF83" s="75" t="str">
        <f>IF($A83&lt;&gt;9999,IF($C83=2,VLOOKUP($A83,中間シート!$D$187:$T$276,16,FALSE),VLOOKUP($A83,中間シート!$D$187:$T$276,11,FALSE)),"")</f>
        <v/>
      </c>
      <c r="AG83" s="70"/>
      <c r="AH83" s="70"/>
      <c r="AI83" s="70"/>
      <c r="AJ83" s="70"/>
      <c r="AK83" s="71"/>
    </row>
    <row r="84" spans="1:37" ht="16.5" customHeight="1" x14ac:dyDescent="0.2">
      <c r="A84" s="20">
        <f>中間シート!AI224</f>
        <v>9999</v>
      </c>
      <c r="B84" s="20" t="str">
        <f>中間シート!AK224</f>
        <v>事業場99</v>
      </c>
      <c r="C84" s="20" t="e">
        <f>中間シート!AJ224</f>
        <v>#N/A</v>
      </c>
      <c r="D84" s="20" t="str">
        <f>VLOOKUP($A84,中間シート!$D$187:$K$276,4)</f>
        <v/>
      </c>
      <c r="E84" s="20" t="str">
        <f>VLOOKUP($A84,中間シート!$D$187:$K$276,5)</f>
        <v/>
      </c>
      <c r="F84" s="20" t="str">
        <f>VLOOKUP($A84,中間シート!$D$187:$K$276,6)</f>
        <v/>
      </c>
      <c r="G84" s="20" t="str">
        <f>VLOOKUP($A84,中間シート!$D$187:$K$276,7)</f>
        <v/>
      </c>
      <c r="H84" s="20" t="str">
        <f>VLOOKUP($A84,中間シート!$D$187:$K$276,8)</f>
        <v/>
      </c>
      <c r="J84" s="248" t="str">
        <f t="shared" si="0"/>
        <v/>
      </c>
      <c r="K84" s="248"/>
      <c r="L84" s="248"/>
      <c r="M84" s="248"/>
      <c r="N84" s="260" t="str">
        <f>IF($A84&lt;&gt;9999,IF($C84=2,VLOOKUP($A84,中間シート!$D$187:$T$276,14,FALSE),VLOOKUP($A84,中間シート!$D$187:$T$276,9,FALSE)),"")</f>
        <v/>
      </c>
      <c r="O84" s="261"/>
      <c r="P84" s="261"/>
      <c r="Q84" s="261"/>
      <c r="R84" s="261"/>
      <c r="S84" s="261"/>
      <c r="T84" s="262"/>
      <c r="U84" s="258" t="s">
        <v>516</v>
      </c>
      <c r="V84" s="259"/>
      <c r="W84" s="260" t="str">
        <f>IF($A84&lt;&gt;9999,IF($C84=2,VLOOKUP($A84,中間シート!$D$187:$T$276,15,FALSE),VLOOKUP($A84,中間シート!$D$187:$T$276,10,FALSE)),"")</f>
        <v/>
      </c>
      <c r="X84" s="261"/>
      <c r="Y84" s="261"/>
      <c r="Z84" s="261"/>
      <c r="AA84" s="261"/>
      <c r="AB84" s="261"/>
      <c r="AC84" s="262"/>
      <c r="AD84" s="258" t="s">
        <v>516</v>
      </c>
      <c r="AE84" s="259"/>
      <c r="AF84" s="75" t="str">
        <f>IF($A84&lt;&gt;9999,IF($C84=2,VLOOKUP($A84,中間シート!$D$187:$T$276,16,FALSE),VLOOKUP($A84,中間シート!$D$187:$T$276,11,FALSE)),"")</f>
        <v/>
      </c>
      <c r="AG84" s="70"/>
      <c r="AH84" s="70"/>
      <c r="AI84" s="70"/>
      <c r="AJ84" s="70"/>
      <c r="AK84" s="71"/>
    </row>
    <row r="85" spans="1:37" ht="16.5" customHeight="1" x14ac:dyDescent="0.2">
      <c r="A85" s="20">
        <f>中間シート!AI225</f>
        <v>9999</v>
      </c>
      <c r="B85" s="20" t="str">
        <f>中間シート!AK225</f>
        <v>事業場99</v>
      </c>
      <c r="C85" s="20" t="e">
        <f>中間シート!AJ225</f>
        <v>#N/A</v>
      </c>
      <c r="D85" s="20" t="str">
        <f>VLOOKUP($A85,中間シート!$D$187:$K$276,4)</f>
        <v/>
      </c>
      <c r="E85" s="20" t="str">
        <f>VLOOKUP($A85,中間シート!$D$187:$K$276,5)</f>
        <v/>
      </c>
      <c r="F85" s="20" t="str">
        <f>VLOOKUP($A85,中間シート!$D$187:$K$276,6)</f>
        <v/>
      </c>
      <c r="G85" s="20" t="str">
        <f>VLOOKUP($A85,中間シート!$D$187:$K$276,7)</f>
        <v/>
      </c>
      <c r="H85" s="20" t="str">
        <f>VLOOKUP($A85,中間シート!$D$187:$K$276,8)</f>
        <v/>
      </c>
      <c r="J85" s="248" t="str">
        <f t="shared" si="0"/>
        <v/>
      </c>
      <c r="K85" s="248"/>
      <c r="L85" s="248"/>
      <c r="M85" s="248"/>
      <c r="N85" s="260" t="str">
        <f>IF($A85&lt;&gt;9999,IF($C85=2,VLOOKUP($A85,中間シート!$D$187:$T$276,14,FALSE),VLOOKUP($A85,中間シート!$D$187:$T$276,9,FALSE)),"")</f>
        <v/>
      </c>
      <c r="O85" s="261"/>
      <c r="P85" s="261"/>
      <c r="Q85" s="261"/>
      <c r="R85" s="261"/>
      <c r="S85" s="261"/>
      <c r="T85" s="262"/>
      <c r="U85" s="258" t="s">
        <v>516</v>
      </c>
      <c r="V85" s="259"/>
      <c r="W85" s="260" t="str">
        <f>IF($A85&lt;&gt;9999,IF($C85=2,VLOOKUP($A85,中間シート!$D$187:$T$276,15,FALSE),VLOOKUP($A85,中間シート!$D$187:$T$276,10,FALSE)),"")</f>
        <v/>
      </c>
      <c r="X85" s="261"/>
      <c r="Y85" s="261"/>
      <c r="Z85" s="261"/>
      <c r="AA85" s="261"/>
      <c r="AB85" s="261"/>
      <c r="AC85" s="262"/>
      <c r="AD85" s="258" t="s">
        <v>516</v>
      </c>
      <c r="AE85" s="259"/>
      <c r="AF85" s="75" t="str">
        <f>IF($A85&lt;&gt;9999,IF($C85=2,VLOOKUP($A85,中間シート!$D$187:$T$276,16,FALSE),VLOOKUP($A85,中間シート!$D$187:$T$276,11,FALSE)),"")</f>
        <v/>
      </c>
      <c r="AG85" s="70"/>
      <c r="AH85" s="70"/>
      <c r="AI85" s="70"/>
      <c r="AJ85" s="70"/>
      <c r="AK85" s="71"/>
    </row>
    <row r="86" spans="1:37" ht="16.5" customHeight="1" x14ac:dyDescent="0.2">
      <c r="A86" s="20">
        <f>中間シート!AI226</f>
        <v>9999</v>
      </c>
      <c r="B86" s="20" t="str">
        <f>中間シート!AK226</f>
        <v>事業場99</v>
      </c>
      <c r="C86" s="20" t="e">
        <f>中間シート!AJ226</f>
        <v>#N/A</v>
      </c>
      <c r="D86" s="20" t="str">
        <f>VLOOKUP($A86,中間シート!$D$187:$K$276,4)</f>
        <v/>
      </c>
      <c r="E86" s="20" t="str">
        <f>VLOOKUP($A86,中間シート!$D$187:$K$276,5)</f>
        <v/>
      </c>
      <c r="F86" s="20" t="str">
        <f>VLOOKUP($A86,中間シート!$D$187:$K$276,6)</f>
        <v/>
      </c>
      <c r="G86" s="20" t="str">
        <f>VLOOKUP($A86,中間シート!$D$187:$K$276,7)</f>
        <v/>
      </c>
      <c r="H86" s="20" t="str">
        <f>VLOOKUP($A86,中間シート!$D$187:$K$276,8)</f>
        <v/>
      </c>
      <c r="J86" s="248" t="str">
        <f t="shared" si="0"/>
        <v/>
      </c>
      <c r="K86" s="248"/>
      <c r="L86" s="248"/>
      <c r="M86" s="248"/>
      <c r="N86" s="260" t="str">
        <f>IF($A86&lt;&gt;9999,IF($C86=2,VLOOKUP($A86,中間シート!$D$187:$T$276,14,FALSE),VLOOKUP($A86,中間シート!$D$187:$T$276,9,FALSE)),"")</f>
        <v/>
      </c>
      <c r="O86" s="261"/>
      <c r="P86" s="261"/>
      <c r="Q86" s="261"/>
      <c r="R86" s="261"/>
      <c r="S86" s="261"/>
      <c r="T86" s="262"/>
      <c r="U86" s="258" t="s">
        <v>516</v>
      </c>
      <c r="V86" s="259"/>
      <c r="W86" s="260" t="str">
        <f>IF($A86&lt;&gt;9999,IF($C86=2,VLOOKUP($A86,中間シート!$D$187:$T$276,15,FALSE),VLOOKUP($A86,中間シート!$D$187:$T$276,10,FALSE)),"")</f>
        <v/>
      </c>
      <c r="X86" s="261"/>
      <c r="Y86" s="261"/>
      <c r="Z86" s="261"/>
      <c r="AA86" s="261"/>
      <c r="AB86" s="261"/>
      <c r="AC86" s="262"/>
      <c r="AD86" s="258" t="s">
        <v>516</v>
      </c>
      <c r="AE86" s="259"/>
      <c r="AF86" s="75" t="str">
        <f>IF($A86&lt;&gt;9999,IF($C86=2,VLOOKUP($A86,中間シート!$D$187:$T$276,16,FALSE),VLOOKUP($A86,中間シート!$D$187:$T$276,11,FALSE)),"")</f>
        <v/>
      </c>
      <c r="AG86" s="70"/>
      <c r="AH86" s="70"/>
      <c r="AI86" s="70"/>
      <c r="AJ86" s="70"/>
      <c r="AK86" s="71"/>
    </row>
    <row r="87" spans="1:37" ht="16.5" customHeight="1" x14ac:dyDescent="0.2">
      <c r="A87" s="20">
        <f>中間シート!AI227</f>
        <v>9999</v>
      </c>
      <c r="B87" s="20" t="str">
        <f>中間シート!AK227</f>
        <v>事業場99</v>
      </c>
      <c r="C87" s="20" t="e">
        <f>中間シート!AJ227</f>
        <v>#N/A</v>
      </c>
      <c r="D87" s="20" t="str">
        <f>VLOOKUP($A87,中間シート!$D$187:$K$276,4)</f>
        <v/>
      </c>
      <c r="E87" s="20" t="str">
        <f>VLOOKUP($A87,中間シート!$D$187:$K$276,5)</f>
        <v/>
      </c>
      <c r="F87" s="20" t="str">
        <f>VLOOKUP($A87,中間シート!$D$187:$K$276,6)</f>
        <v/>
      </c>
      <c r="G87" s="20" t="str">
        <f>VLOOKUP($A87,中間シート!$D$187:$K$276,7)</f>
        <v/>
      </c>
      <c r="H87" s="20" t="str">
        <f>VLOOKUP($A87,中間シート!$D$187:$K$276,8)</f>
        <v/>
      </c>
      <c r="J87" s="248" t="str">
        <f t="shared" si="0"/>
        <v/>
      </c>
      <c r="K87" s="248"/>
      <c r="L87" s="248"/>
      <c r="M87" s="248"/>
      <c r="N87" s="260" t="str">
        <f>IF($A87&lt;&gt;9999,IF($C87=2,VLOOKUP($A87,中間シート!$D$187:$T$276,14,FALSE),VLOOKUP($A87,中間シート!$D$187:$T$276,9,FALSE)),"")</f>
        <v/>
      </c>
      <c r="O87" s="261"/>
      <c r="P87" s="261"/>
      <c r="Q87" s="261"/>
      <c r="R87" s="261"/>
      <c r="S87" s="261"/>
      <c r="T87" s="262"/>
      <c r="U87" s="258" t="s">
        <v>516</v>
      </c>
      <c r="V87" s="259"/>
      <c r="W87" s="260" t="str">
        <f>IF($A87&lt;&gt;9999,IF($C87=2,VLOOKUP($A87,中間シート!$D$187:$T$276,15,FALSE),VLOOKUP($A87,中間シート!$D$187:$T$276,10,FALSE)),"")</f>
        <v/>
      </c>
      <c r="X87" s="261"/>
      <c r="Y87" s="261"/>
      <c r="Z87" s="261"/>
      <c r="AA87" s="261"/>
      <c r="AB87" s="261"/>
      <c r="AC87" s="262"/>
      <c r="AD87" s="258" t="s">
        <v>516</v>
      </c>
      <c r="AE87" s="259"/>
      <c r="AF87" s="75" t="str">
        <f>IF($A87&lt;&gt;9999,IF($C87=2,VLOOKUP($A87,中間シート!$D$187:$T$276,16,FALSE),VLOOKUP($A87,中間シート!$D$187:$T$276,11,FALSE)),"")</f>
        <v/>
      </c>
      <c r="AG87" s="70"/>
      <c r="AH87" s="70"/>
      <c r="AI87" s="70"/>
      <c r="AJ87" s="70"/>
      <c r="AK87" s="71"/>
    </row>
    <row r="88" spans="1:37" ht="16.5" customHeight="1" x14ac:dyDescent="0.2">
      <c r="A88" s="20">
        <f>中間シート!AI228</f>
        <v>9999</v>
      </c>
      <c r="B88" s="20" t="str">
        <f>中間シート!AK228</f>
        <v>事業場99</v>
      </c>
      <c r="C88" s="20" t="e">
        <f>中間シート!AJ228</f>
        <v>#N/A</v>
      </c>
      <c r="D88" s="20" t="str">
        <f>VLOOKUP($A88,中間シート!$D$187:$K$276,4)</f>
        <v/>
      </c>
      <c r="E88" s="20" t="str">
        <f>VLOOKUP($A88,中間シート!$D$187:$K$276,5)</f>
        <v/>
      </c>
      <c r="F88" s="20" t="str">
        <f>VLOOKUP($A88,中間シート!$D$187:$K$276,6)</f>
        <v/>
      </c>
      <c r="G88" s="20" t="str">
        <f>VLOOKUP($A88,中間シート!$D$187:$K$276,7)</f>
        <v/>
      </c>
      <c r="H88" s="20" t="str">
        <f>VLOOKUP($A88,中間シート!$D$187:$K$276,8)</f>
        <v/>
      </c>
      <c r="J88" s="248" t="str">
        <f t="shared" si="0"/>
        <v/>
      </c>
      <c r="K88" s="248"/>
      <c r="L88" s="248"/>
      <c r="M88" s="248"/>
      <c r="N88" s="260" t="str">
        <f>IF($A88&lt;&gt;9999,IF($C88=2,VLOOKUP($A88,中間シート!$D$187:$T$276,14,FALSE),VLOOKUP($A88,中間シート!$D$187:$T$276,9,FALSE)),"")</f>
        <v/>
      </c>
      <c r="O88" s="261"/>
      <c r="P88" s="261"/>
      <c r="Q88" s="261"/>
      <c r="R88" s="261"/>
      <c r="S88" s="261"/>
      <c r="T88" s="262"/>
      <c r="U88" s="258" t="s">
        <v>516</v>
      </c>
      <c r="V88" s="259"/>
      <c r="W88" s="260" t="str">
        <f>IF($A88&lt;&gt;9999,IF($C88=2,VLOOKUP($A88,中間シート!$D$187:$T$276,15,FALSE),VLOOKUP($A88,中間シート!$D$187:$T$276,10,FALSE)),"")</f>
        <v/>
      </c>
      <c r="X88" s="261"/>
      <c r="Y88" s="261"/>
      <c r="Z88" s="261"/>
      <c r="AA88" s="261"/>
      <c r="AB88" s="261"/>
      <c r="AC88" s="262"/>
      <c r="AD88" s="258" t="s">
        <v>516</v>
      </c>
      <c r="AE88" s="259"/>
      <c r="AF88" s="75" t="str">
        <f>IF($A88&lt;&gt;9999,IF($C88=2,VLOOKUP($A88,中間シート!$D$187:$T$276,16,FALSE),VLOOKUP($A88,中間シート!$D$187:$T$276,11,FALSE)),"")</f>
        <v/>
      </c>
      <c r="AG88" s="70"/>
      <c r="AH88" s="70"/>
      <c r="AI88" s="70"/>
      <c r="AJ88" s="70"/>
      <c r="AK88" s="71"/>
    </row>
    <row r="89" spans="1:37" ht="16.5" customHeight="1" x14ac:dyDescent="0.2">
      <c r="A89" s="20">
        <f>中間シート!AI229</f>
        <v>9999</v>
      </c>
      <c r="B89" s="20" t="str">
        <f>中間シート!AK229</f>
        <v>事業場99</v>
      </c>
      <c r="C89" s="20" t="e">
        <f>中間シート!AJ229</f>
        <v>#N/A</v>
      </c>
      <c r="D89" s="20" t="str">
        <f>VLOOKUP($A89,中間シート!$D$187:$K$276,4)</f>
        <v/>
      </c>
      <c r="E89" s="20" t="str">
        <f>VLOOKUP($A89,中間シート!$D$187:$K$276,5)</f>
        <v/>
      </c>
      <c r="F89" s="20" t="str">
        <f>VLOOKUP($A89,中間シート!$D$187:$K$276,6)</f>
        <v/>
      </c>
      <c r="G89" s="20" t="str">
        <f>VLOOKUP($A89,中間シート!$D$187:$K$276,7)</f>
        <v/>
      </c>
      <c r="H89" s="20" t="str">
        <f>VLOOKUP($A89,中間シート!$D$187:$K$276,8)</f>
        <v/>
      </c>
      <c r="J89" s="248" t="str">
        <f t="shared" si="0"/>
        <v/>
      </c>
      <c r="K89" s="248"/>
      <c r="L89" s="248"/>
      <c r="M89" s="248"/>
      <c r="N89" s="260" t="str">
        <f>IF($A89&lt;&gt;9999,IF($C89=2,VLOOKUP($A89,中間シート!$D$187:$T$276,14,FALSE),VLOOKUP($A89,中間シート!$D$187:$T$276,9,FALSE)),"")</f>
        <v/>
      </c>
      <c r="O89" s="261"/>
      <c r="P89" s="261"/>
      <c r="Q89" s="261"/>
      <c r="R89" s="261"/>
      <c r="S89" s="261"/>
      <c r="T89" s="262"/>
      <c r="U89" s="258" t="s">
        <v>516</v>
      </c>
      <c r="V89" s="259"/>
      <c r="W89" s="260" t="str">
        <f>IF($A89&lt;&gt;9999,IF($C89=2,VLOOKUP($A89,中間シート!$D$187:$T$276,15,FALSE),VLOOKUP($A89,中間シート!$D$187:$T$276,10,FALSE)),"")</f>
        <v/>
      </c>
      <c r="X89" s="261"/>
      <c r="Y89" s="261"/>
      <c r="Z89" s="261"/>
      <c r="AA89" s="261"/>
      <c r="AB89" s="261"/>
      <c r="AC89" s="262"/>
      <c r="AD89" s="258" t="s">
        <v>516</v>
      </c>
      <c r="AE89" s="259"/>
      <c r="AF89" s="75" t="str">
        <f>IF($A89&lt;&gt;9999,IF($C89=2,VLOOKUP($A89,中間シート!$D$187:$T$276,16,FALSE),VLOOKUP($A89,中間シート!$D$187:$T$276,11,FALSE)),"")</f>
        <v/>
      </c>
      <c r="AG89" s="70"/>
      <c r="AH89" s="70"/>
      <c r="AI89" s="70"/>
      <c r="AJ89" s="70"/>
      <c r="AK89" s="71"/>
    </row>
    <row r="90" spans="1:37" ht="16.5" customHeight="1" x14ac:dyDescent="0.2">
      <c r="A90" s="20">
        <f>中間シート!AI230</f>
        <v>9999</v>
      </c>
      <c r="B90" s="20" t="str">
        <f>中間シート!AK230</f>
        <v>事業場99</v>
      </c>
      <c r="C90" s="20" t="e">
        <f>中間シート!AJ230</f>
        <v>#N/A</v>
      </c>
      <c r="D90" s="20" t="str">
        <f>VLOOKUP($A90,中間シート!$D$187:$K$276,4)</f>
        <v/>
      </c>
      <c r="E90" s="20" t="str">
        <f>VLOOKUP($A90,中間シート!$D$187:$K$276,5)</f>
        <v/>
      </c>
      <c r="F90" s="20" t="str">
        <f>VLOOKUP($A90,中間シート!$D$187:$K$276,6)</f>
        <v/>
      </c>
      <c r="G90" s="20" t="str">
        <f>VLOOKUP($A90,中間シート!$D$187:$K$276,7)</f>
        <v/>
      </c>
      <c r="H90" s="20" t="str">
        <f>VLOOKUP($A90,中間シート!$D$187:$K$276,8)</f>
        <v/>
      </c>
      <c r="J90" s="248" t="str">
        <f t="shared" si="0"/>
        <v/>
      </c>
      <c r="K90" s="248"/>
      <c r="L90" s="248"/>
      <c r="M90" s="248"/>
      <c r="N90" s="260" t="str">
        <f>IF($A90&lt;&gt;9999,IF($C90=2,VLOOKUP($A90,中間シート!$D$187:$T$276,14,FALSE),VLOOKUP($A90,中間シート!$D$187:$T$276,9,FALSE)),"")</f>
        <v/>
      </c>
      <c r="O90" s="261"/>
      <c r="P90" s="261"/>
      <c r="Q90" s="261"/>
      <c r="R90" s="261"/>
      <c r="S90" s="261"/>
      <c r="T90" s="262"/>
      <c r="U90" s="258" t="s">
        <v>516</v>
      </c>
      <c r="V90" s="259"/>
      <c r="W90" s="260" t="str">
        <f>IF($A90&lt;&gt;9999,IF($C90=2,VLOOKUP($A90,中間シート!$D$187:$T$276,15,FALSE),VLOOKUP($A90,中間シート!$D$187:$T$276,10,FALSE)),"")</f>
        <v/>
      </c>
      <c r="X90" s="261"/>
      <c r="Y90" s="261"/>
      <c r="Z90" s="261"/>
      <c r="AA90" s="261"/>
      <c r="AB90" s="261"/>
      <c r="AC90" s="262"/>
      <c r="AD90" s="258" t="s">
        <v>516</v>
      </c>
      <c r="AE90" s="259"/>
      <c r="AF90" s="75" t="str">
        <f>IF($A90&lt;&gt;9999,IF($C90=2,VLOOKUP($A90,中間シート!$D$187:$T$276,16,FALSE),VLOOKUP($A90,中間シート!$D$187:$T$276,11,FALSE)),"")</f>
        <v/>
      </c>
      <c r="AG90" s="70"/>
      <c r="AH90" s="70"/>
      <c r="AI90" s="70"/>
      <c r="AJ90" s="70"/>
      <c r="AK90" s="71"/>
    </row>
    <row r="91" spans="1:37" ht="16.5" customHeight="1" x14ac:dyDescent="0.2">
      <c r="A91" s="20">
        <f>中間シート!AI231</f>
        <v>9999</v>
      </c>
      <c r="B91" s="20" t="str">
        <f>中間シート!AK231</f>
        <v>事業場99</v>
      </c>
      <c r="C91" s="20" t="e">
        <f>中間シート!AJ231</f>
        <v>#N/A</v>
      </c>
      <c r="D91" s="20" t="str">
        <f>VLOOKUP($A91,中間シート!$D$187:$K$276,4)</f>
        <v/>
      </c>
      <c r="E91" s="20" t="str">
        <f>VLOOKUP($A91,中間シート!$D$187:$K$276,5)</f>
        <v/>
      </c>
      <c r="F91" s="20" t="str">
        <f>VLOOKUP($A91,中間シート!$D$187:$K$276,6)</f>
        <v/>
      </c>
      <c r="G91" s="20" t="str">
        <f>VLOOKUP($A91,中間シート!$D$187:$K$276,7)</f>
        <v/>
      </c>
      <c r="H91" s="20" t="str">
        <f>VLOOKUP($A91,中間シート!$D$187:$K$276,8)</f>
        <v/>
      </c>
      <c r="J91" s="248" t="str">
        <f t="shared" si="0"/>
        <v/>
      </c>
      <c r="K91" s="248"/>
      <c r="L91" s="248"/>
      <c r="M91" s="248"/>
      <c r="N91" s="260" t="str">
        <f>IF($A91&lt;&gt;9999,IF($C91=2,VLOOKUP($A91,中間シート!$D$187:$T$276,14,FALSE),VLOOKUP($A91,中間シート!$D$187:$T$276,9,FALSE)),"")</f>
        <v/>
      </c>
      <c r="O91" s="261"/>
      <c r="P91" s="261"/>
      <c r="Q91" s="261"/>
      <c r="R91" s="261"/>
      <c r="S91" s="261"/>
      <c r="T91" s="262"/>
      <c r="U91" s="258" t="s">
        <v>516</v>
      </c>
      <c r="V91" s="259"/>
      <c r="W91" s="260" t="str">
        <f>IF($A91&lt;&gt;9999,IF($C91=2,VLOOKUP($A91,中間シート!$D$187:$T$276,15,FALSE),VLOOKUP($A91,中間シート!$D$187:$T$276,10,FALSE)),"")</f>
        <v/>
      </c>
      <c r="X91" s="261"/>
      <c r="Y91" s="261"/>
      <c r="Z91" s="261"/>
      <c r="AA91" s="261"/>
      <c r="AB91" s="261"/>
      <c r="AC91" s="262"/>
      <c r="AD91" s="258" t="s">
        <v>516</v>
      </c>
      <c r="AE91" s="259"/>
      <c r="AF91" s="75" t="str">
        <f>IF($A91&lt;&gt;9999,IF($C91=2,VLOOKUP($A91,中間シート!$D$187:$T$276,16,FALSE),VLOOKUP($A91,中間シート!$D$187:$T$276,11,FALSE)),"")</f>
        <v/>
      </c>
      <c r="AG91" s="70"/>
      <c r="AH91" s="70"/>
      <c r="AI91" s="70"/>
      <c r="AJ91" s="70"/>
      <c r="AK91" s="71"/>
    </row>
    <row r="92" spans="1:37" ht="16.5" customHeight="1" x14ac:dyDescent="0.2">
      <c r="A92" s="20">
        <f>中間シート!AI232</f>
        <v>9999</v>
      </c>
      <c r="B92" s="20" t="str">
        <f>中間シート!AK232</f>
        <v>事業場99</v>
      </c>
      <c r="C92" s="20" t="e">
        <f>中間シート!AJ232</f>
        <v>#N/A</v>
      </c>
      <c r="D92" s="20" t="str">
        <f>VLOOKUP($A92,中間シート!$D$187:$K$276,4)</f>
        <v/>
      </c>
      <c r="E92" s="20" t="str">
        <f>VLOOKUP($A92,中間シート!$D$187:$K$276,5)</f>
        <v/>
      </c>
      <c r="F92" s="20" t="str">
        <f>VLOOKUP($A92,中間シート!$D$187:$K$276,6)</f>
        <v/>
      </c>
      <c r="G92" s="20" t="str">
        <f>VLOOKUP($A92,中間シート!$D$187:$K$276,7)</f>
        <v/>
      </c>
      <c r="H92" s="20" t="str">
        <f>VLOOKUP($A92,中間シート!$D$187:$K$276,8)</f>
        <v/>
      </c>
      <c r="J92" s="248" t="str">
        <f t="shared" si="0"/>
        <v/>
      </c>
      <c r="K92" s="248"/>
      <c r="L92" s="248"/>
      <c r="M92" s="248"/>
      <c r="N92" s="260" t="str">
        <f>IF($A92&lt;&gt;9999,IF($C92=2,VLOOKUP($A92,中間シート!$D$187:$T$276,14,FALSE),VLOOKUP($A92,中間シート!$D$187:$T$276,9,FALSE)),"")</f>
        <v/>
      </c>
      <c r="O92" s="261"/>
      <c r="P92" s="261"/>
      <c r="Q92" s="261"/>
      <c r="R92" s="261"/>
      <c r="S92" s="261"/>
      <c r="T92" s="262"/>
      <c r="U92" s="258" t="s">
        <v>516</v>
      </c>
      <c r="V92" s="259"/>
      <c r="W92" s="260" t="str">
        <f>IF($A92&lt;&gt;9999,IF($C92=2,VLOOKUP($A92,中間シート!$D$187:$T$276,15,FALSE),VLOOKUP($A92,中間シート!$D$187:$T$276,10,FALSE)),"")</f>
        <v/>
      </c>
      <c r="X92" s="261"/>
      <c r="Y92" s="261"/>
      <c r="Z92" s="261"/>
      <c r="AA92" s="261"/>
      <c r="AB92" s="261"/>
      <c r="AC92" s="262"/>
      <c r="AD92" s="258" t="s">
        <v>516</v>
      </c>
      <c r="AE92" s="259"/>
      <c r="AF92" s="75" t="str">
        <f>IF($A92&lt;&gt;9999,IF($C92=2,VLOOKUP($A92,中間シート!$D$187:$T$276,16,FALSE),VLOOKUP($A92,中間シート!$D$187:$T$276,11,FALSE)),"")</f>
        <v/>
      </c>
      <c r="AG92" s="70"/>
      <c r="AH92" s="70"/>
      <c r="AI92" s="70"/>
      <c r="AJ92" s="70"/>
      <c r="AK92" s="71"/>
    </row>
    <row r="93" spans="1:37" ht="16.5" customHeight="1" x14ac:dyDescent="0.2">
      <c r="A93" s="20">
        <f>中間シート!AI233</f>
        <v>9999</v>
      </c>
      <c r="B93" s="20" t="str">
        <f>中間シート!AK233</f>
        <v>事業場99</v>
      </c>
      <c r="C93" s="20" t="e">
        <f>中間シート!AJ233</f>
        <v>#N/A</v>
      </c>
      <c r="D93" s="20" t="str">
        <f>VLOOKUP($A93,中間シート!$D$187:$K$276,4)</f>
        <v/>
      </c>
      <c r="E93" s="20" t="str">
        <f>VLOOKUP($A93,中間シート!$D$187:$K$276,5)</f>
        <v/>
      </c>
      <c r="F93" s="20" t="str">
        <f>VLOOKUP($A93,中間シート!$D$187:$K$276,6)</f>
        <v/>
      </c>
      <c r="G93" s="20" t="str">
        <f>VLOOKUP($A93,中間シート!$D$187:$K$276,7)</f>
        <v/>
      </c>
      <c r="H93" s="20" t="str">
        <f>VLOOKUP($A93,中間シート!$D$187:$K$276,8)</f>
        <v/>
      </c>
      <c r="J93" s="248" t="str">
        <f t="shared" si="0"/>
        <v/>
      </c>
      <c r="K93" s="248"/>
      <c r="L93" s="248"/>
      <c r="M93" s="248"/>
      <c r="N93" s="260" t="str">
        <f>IF($A93&lt;&gt;9999,IF($C93=2,VLOOKUP($A93,中間シート!$D$187:$T$276,14,FALSE),VLOOKUP($A93,中間シート!$D$187:$T$276,9,FALSE)),"")</f>
        <v/>
      </c>
      <c r="O93" s="261"/>
      <c r="P93" s="261"/>
      <c r="Q93" s="261"/>
      <c r="R93" s="261"/>
      <c r="S93" s="261"/>
      <c r="T93" s="262"/>
      <c r="U93" s="258" t="s">
        <v>516</v>
      </c>
      <c r="V93" s="259"/>
      <c r="W93" s="260" t="str">
        <f>IF($A93&lt;&gt;9999,IF($C93=2,VLOOKUP($A93,中間シート!$D$187:$T$276,15,FALSE),VLOOKUP($A93,中間シート!$D$187:$T$276,10,FALSE)),"")</f>
        <v/>
      </c>
      <c r="X93" s="261"/>
      <c r="Y93" s="261"/>
      <c r="Z93" s="261"/>
      <c r="AA93" s="261"/>
      <c r="AB93" s="261"/>
      <c r="AC93" s="262"/>
      <c r="AD93" s="258" t="s">
        <v>516</v>
      </c>
      <c r="AE93" s="259"/>
      <c r="AF93" s="75" t="str">
        <f>IF($A93&lt;&gt;9999,IF($C93=2,VLOOKUP($A93,中間シート!$D$187:$T$276,16,FALSE),VLOOKUP($A93,中間シート!$D$187:$T$276,11,FALSE)),"")</f>
        <v/>
      </c>
      <c r="AG93" s="70"/>
      <c r="AH93" s="70"/>
      <c r="AI93" s="70"/>
      <c r="AJ93" s="70"/>
      <c r="AK93" s="71"/>
    </row>
    <row r="94" spans="1:37" ht="16.5" customHeight="1" x14ac:dyDescent="0.2">
      <c r="A94" s="20">
        <f>中間シート!AI234</f>
        <v>9999</v>
      </c>
      <c r="B94" s="20" t="str">
        <f>中間シート!AK234</f>
        <v>事業場99</v>
      </c>
      <c r="C94" s="20" t="e">
        <f>中間シート!AJ234</f>
        <v>#N/A</v>
      </c>
      <c r="D94" s="20" t="str">
        <f>VLOOKUP($A94,中間シート!$D$187:$K$276,4)</f>
        <v/>
      </c>
      <c r="E94" s="20" t="str">
        <f>VLOOKUP($A94,中間シート!$D$187:$K$276,5)</f>
        <v/>
      </c>
      <c r="F94" s="20" t="str">
        <f>VLOOKUP($A94,中間シート!$D$187:$K$276,6)</f>
        <v/>
      </c>
      <c r="G94" s="20" t="str">
        <f>VLOOKUP($A94,中間シート!$D$187:$K$276,7)</f>
        <v/>
      </c>
      <c r="H94" s="20" t="str">
        <f>VLOOKUP($A94,中間シート!$D$187:$K$276,8)</f>
        <v/>
      </c>
      <c r="J94" s="248" t="str">
        <f t="shared" si="0"/>
        <v/>
      </c>
      <c r="K94" s="248"/>
      <c r="L94" s="248"/>
      <c r="M94" s="248"/>
      <c r="N94" s="260" t="str">
        <f>IF($A94&lt;&gt;9999,IF($C94=2,VLOOKUP($A94,中間シート!$D$187:$T$276,14,FALSE),VLOOKUP($A94,中間シート!$D$187:$T$276,9,FALSE)),"")</f>
        <v/>
      </c>
      <c r="O94" s="261"/>
      <c r="P94" s="261"/>
      <c r="Q94" s="261"/>
      <c r="R94" s="261"/>
      <c r="S94" s="261"/>
      <c r="T94" s="262"/>
      <c r="U94" s="258" t="s">
        <v>516</v>
      </c>
      <c r="V94" s="259"/>
      <c r="W94" s="260" t="str">
        <f>IF($A94&lt;&gt;9999,IF($C94=2,VLOOKUP($A94,中間シート!$D$187:$T$276,15,FALSE),VLOOKUP($A94,中間シート!$D$187:$T$276,10,FALSE)),"")</f>
        <v/>
      </c>
      <c r="X94" s="261"/>
      <c r="Y94" s="261"/>
      <c r="Z94" s="261"/>
      <c r="AA94" s="261"/>
      <c r="AB94" s="261"/>
      <c r="AC94" s="262"/>
      <c r="AD94" s="258" t="s">
        <v>516</v>
      </c>
      <c r="AE94" s="259"/>
      <c r="AF94" s="75" t="str">
        <f>IF($A94&lt;&gt;9999,IF($C94=2,VLOOKUP($A94,中間シート!$D$187:$T$276,16,FALSE),VLOOKUP($A94,中間シート!$D$187:$T$276,11,FALSE)),"")</f>
        <v/>
      </c>
      <c r="AG94" s="70"/>
      <c r="AH94" s="70"/>
      <c r="AI94" s="70"/>
      <c r="AJ94" s="70"/>
      <c r="AK94" s="71"/>
    </row>
    <row r="95" spans="1:37" ht="16.5" customHeight="1" x14ac:dyDescent="0.2">
      <c r="A95" s="20">
        <f>中間シート!AI235</f>
        <v>9999</v>
      </c>
      <c r="B95" s="20" t="str">
        <f>中間シート!AK235</f>
        <v>事業場99</v>
      </c>
      <c r="C95" s="20" t="e">
        <f>中間シート!AJ235</f>
        <v>#N/A</v>
      </c>
      <c r="D95" s="20" t="str">
        <f>VLOOKUP($A95,中間シート!$D$187:$K$276,4)</f>
        <v/>
      </c>
      <c r="E95" s="20" t="str">
        <f>VLOOKUP($A95,中間シート!$D$187:$K$276,5)</f>
        <v/>
      </c>
      <c r="F95" s="20" t="str">
        <f>VLOOKUP($A95,中間シート!$D$187:$K$276,6)</f>
        <v/>
      </c>
      <c r="G95" s="20" t="str">
        <f>VLOOKUP($A95,中間シート!$D$187:$K$276,7)</f>
        <v/>
      </c>
      <c r="H95" s="20" t="str">
        <f>VLOOKUP($A95,中間シート!$D$187:$K$276,8)</f>
        <v/>
      </c>
      <c r="J95" s="248" t="str">
        <f t="shared" si="0"/>
        <v/>
      </c>
      <c r="K95" s="248"/>
      <c r="L95" s="248"/>
      <c r="M95" s="248"/>
      <c r="N95" s="260" t="str">
        <f>IF($A95&lt;&gt;9999,IF($C95=2,VLOOKUP($A95,中間シート!$D$187:$T$276,14,FALSE),VLOOKUP($A95,中間シート!$D$187:$T$276,9,FALSE)),"")</f>
        <v/>
      </c>
      <c r="O95" s="261"/>
      <c r="P95" s="261"/>
      <c r="Q95" s="261"/>
      <c r="R95" s="261"/>
      <c r="S95" s="261"/>
      <c r="T95" s="262"/>
      <c r="U95" s="258" t="s">
        <v>516</v>
      </c>
      <c r="V95" s="259"/>
      <c r="W95" s="260" t="str">
        <f>IF($A95&lt;&gt;9999,IF($C95=2,VLOOKUP($A95,中間シート!$D$187:$T$276,15,FALSE),VLOOKUP($A95,中間シート!$D$187:$T$276,10,FALSE)),"")</f>
        <v/>
      </c>
      <c r="X95" s="261"/>
      <c r="Y95" s="261"/>
      <c r="Z95" s="261"/>
      <c r="AA95" s="261"/>
      <c r="AB95" s="261"/>
      <c r="AC95" s="262"/>
      <c r="AD95" s="258" t="s">
        <v>516</v>
      </c>
      <c r="AE95" s="259"/>
      <c r="AF95" s="75" t="str">
        <f>IF($A95&lt;&gt;9999,IF($C95=2,VLOOKUP($A95,中間シート!$D$187:$T$276,16,FALSE),VLOOKUP($A95,中間シート!$D$187:$T$276,11,FALSE)),"")</f>
        <v/>
      </c>
      <c r="AG95" s="70"/>
      <c r="AH95" s="70"/>
      <c r="AI95" s="70"/>
      <c r="AJ95" s="70"/>
      <c r="AK95" s="71"/>
    </row>
    <row r="96" spans="1:37" ht="16.5" customHeight="1" x14ac:dyDescent="0.2">
      <c r="A96" s="20">
        <f>中間シート!AI236</f>
        <v>9999</v>
      </c>
      <c r="B96" s="20" t="str">
        <f>中間シート!AK236</f>
        <v>事業場99</v>
      </c>
      <c r="C96" s="20" t="e">
        <f>中間シート!AJ236</f>
        <v>#N/A</v>
      </c>
      <c r="D96" s="20" t="str">
        <f>VLOOKUP($A96,中間シート!$D$187:$K$276,4)</f>
        <v/>
      </c>
      <c r="E96" s="20" t="str">
        <f>VLOOKUP($A96,中間シート!$D$187:$K$276,5)</f>
        <v/>
      </c>
      <c r="F96" s="20" t="str">
        <f>VLOOKUP($A96,中間シート!$D$187:$K$276,6)</f>
        <v/>
      </c>
      <c r="G96" s="20" t="str">
        <f>VLOOKUP($A96,中間シート!$D$187:$K$276,7)</f>
        <v/>
      </c>
      <c r="H96" s="20" t="str">
        <f>VLOOKUP($A96,中間シート!$D$187:$K$276,8)</f>
        <v/>
      </c>
      <c r="J96" s="248" t="str">
        <f t="shared" si="0"/>
        <v/>
      </c>
      <c r="K96" s="248"/>
      <c r="L96" s="248"/>
      <c r="M96" s="248"/>
      <c r="N96" s="260" t="str">
        <f>IF($A96&lt;&gt;9999,IF($C96=2,VLOOKUP($A96,中間シート!$D$187:$T$276,14,FALSE),VLOOKUP($A96,中間シート!$D$187:$T$276,9,FALSE)),"")</f>
        <v/>
      </c>
      <c r="O96" s="261"/>
      <c r="P96" s="261"/>
      <c r="Q96" s="261"/>
      <c r="R96" s="261"/>
      <c r="S96" s="261"/>
      <c r="T96" s="262"/>
      <c r="U96" s="258" t="s">
        <v>516</v>
      </c>
      <c r="V96" s="259"/>
      <c r="W96" s="260" t="str">
        <f>IF($A96&lt;&gt;9999,IF($C96=2,VLOOKUP($A96,中間シート!$D$187:$T$276,15,FALSE),VLOOKUP($A96,中間シート!$D$187:$T$276,10,FALSE)),"")</f>
        <v/>
      </c>
      <c r="X96" s="261"/>
      <c r="Y96" s="261"/>
      <c r="Z96" s="261"/>
      <c r="AA96" s="261"/>
      <c r="AB96" s="261"/>
      <c r="AC96" s="262"/>
      <c r="AD96" s="258" t="s">
        <v>516</v>
      </c>
      <c r="AE96" s="259"/>
      <c r="AF96" s="75" t="str">
        <f>IF($A96&lt;&gt;9999,IF($C96=2,VLOOKUP($A96,中間シート!$D$187:$T$276,16,FALSE),VLOOKUP($A96,中間シート!$D$187:$T$276,11,FALSE)),"")</f>
        <v/>
      </c>
      <c r="AG96" s="70"/>
      <c r="AH96" s="70"/>
      <c r="AI96" s="70"/>
      <c r="AJ96" s="70"/>
      <c r="AK96" s="71"/>
    </row>
    <row r="97" spans="1:37" ht="16.5" customHeight="1" x14ac:dyDescent="0.2">
      <c r="A97" s="20">
        <f>中間シート!AI237</f>
        <v>9999</v>
      </c>
      <c r="B97" s="20" t="str">
        <f>中間シート!AK237</f>
        <v>事業場99</v>
      </c>
      <c r="C97" s="20" t="e">
        <f>中間シート!AJ237</f>
        <v>#N/A</v>
      </c>
      <c r="D97" s="20" t="str">
        <f>VLOOKUP($A97,中間シート!$D$187:$K$276,4)</f>
        <v/>
      </c>
      <c r="E97" s="20" t="str">
        <f>VLOOKUP($A97,中間シート!$D$187:$K$276,5)</f>
        <v/>
      </c>
      <c r="F97" s="20" t="str">
        <f>VLOOKUP($A97,中間シート!$D$187:$K$276,6)</f>
        <v/>
      </c>
      <c r="G97" s="20" t="str">
        <f>VLOOKUP($A97,中間シート!$D$187:$K$276,7)</f>
        <v/>
      </c>
      <c r="H97" s="20" t="str">
        <f>VLOOKUP($A97,中間シート!$D$187:$K$276,8)</f>
        <v/>
      </c>
      <c r="J97" s="248" t="str">
        <f t="shared" si="0"/>
        <v/>
      </c>
      <c r="K97" s="248"/>
      <c r="L97" s="248"/>
      <c r="M97" s="248"/>
      <c r="N97" s="260" t="str">
        <f>IF($A97&lt;&gt;9999,IF($C97=2,VLOOKUP($A97,中間シート!$D$187:$T$276,14,FALSE),VLOOKUP($A97,中間シート!$D$187:$T$276,9,FALSE)),"")</f>
        <v/>
      </c>
      <c r="O97" s="261"/>
      <c r="P97" s="261"/>
      <c r="Q97" s="261"/>
      <c r="R97" s="261"/>
      <c r="S97" s="261"/>
      <c r="T97" s="262"/>
      <c r="U97" s="258" t="s">
        <v>516</v>
      </c>
      <c r="V97" s="259"/>
      <c r="W97" s="260" t="str">
        <f>IF($A97&lt;&gt;9999,IF($C97=2,VLOOKUP($A97,中間シート!$D$187:$T$276,15,FALSE),VLOOKUP($A97,中間シート!$D$187:$T$276,10,FALSE)),"")</f>
        <v/>
      </c>
      <c r="X97" s="261"/>
      <c r="Y97" s="261"/>
      <c r="Z97" s="261"/>
      <c r="AA97" s="261"/>
      <c r="AB97" s="261"/>
      <c r="AC97" s="262"/>
      <c r="AD97" s="258" t="s">
        <v>516</v>
      </c>
      <c r="AE97" s="259"/>
      <c r="AF97" s="75" t="str">
        <f>IF($A97&lt;&gt;9999,IF($C97=2,VLOOKUP($A97,中間シート!$D$187:$T$276,16,FALSE),VLOOKUP($A97,中間シート!$D$187:$T$276,11,FALSE)),"")</f>
        <v/>
      </c>
      <c r="AG97" s="70"/>
      <c r="AH97" s="70"/>
      <c r="AI97" s="70"/>
      <c r="AJ97" s="70"/>
      <c r="AK97" s="71"/>
    </row>
    <row r="98" spans="1:37" ht="16.5" customHeight="1" x14ac:dyDescent="0.2">
      <c r="A98" s="20">
        <f>中間シート!AI238</f>
        <v>9999</v>
      </c>
      <c r="B98" s="20" t="str">
        <f>中間シート!AK238</f>
        <v>事業場99</v>
      </c>
      <c r="C98" s="20" t="e">
        <f>中間シート!AJ238</f>
        <v>#N/A</v>
      </c>
      <c r="D98" s="20" t="str">
        <f>VLOOKUP($A98,中間シート!$D$187:$K$276,4)</f>
        <v/>
      </c>
      <c r="E98" s="20" t="str">
        <f>VLOOKUP($A98,中間シート!$D$187:$K$276,5)</f>
        <v/>
      </c>
      <c r="F98" s="20" t="str">
        <f>VLOOKUP($A98,中間シート!$D$187:$K$276,6)</f>
        <v/>
      </c>
      <c r="G98" s="20" t="str">
        <f>VLOOKUP($A98,中間シート!$D$187:$K$276,7)</f>
        <v/>
      </c>
      <c r="H98" s="20" t="str">
        <f>VLOOKUP($A98,中間シート!$D$187:$K$276,8)</f>
        <v/>
      </c>
      <c r="J98" s="248" t="str">
        <f t="shared" si="0"/>
        <v/>
      </c>
      <c r="K98" s="248"/>
      <c r="L98" s="248"/>
      <c r="M98" s="248"/>
      <c r="N98" s="260" t="str">
        <f>IF($A98&lt;&gt;9999,IF($C98=2,VLOOKUP($A98,中間シート!$D$187:$T$276,14,FALSE),VLOOKUP($A98,中間シート!$D$187:$T$276,9,FALSE)),"")</f>
        <v/>
      </c>
      <c r="O98" s="261"/>
      <c r="P98" s="261"/>
      <c r="Q98" s="261"/>
      <c r="R98" s="261"/>
      <c r="S98" s="261"/>
      <c r="T98" s="262"/>
      <c r="U98" s="258" t="s">
        <v>516</v>
      </c>
      <c r="V98" s="259"/>
      <c r="W98" s="260" t="str">
        <f>IF($A98&lt;&gt;9999,IF($C98=2,VLOOKUP($A98,中間シート!$D$187:$T$276,15,FALSE),VLOOKUP($A98,中間シート!$D$187:$T$276,10,FALSE)),"")</f>
        <v/>
      </c>
      <c r="X98" s="261"/>
      <c r="Y98" s="261"/>
      <c r="Z98" s="261"/>
      <c r="AA98" s="261"/>
      <c r="AB98" s="261"/>
      <c r="AC98" s="262"/>
      <c r="AD98" s="258" t="s">
        <v>516</v>
      </c>
      <c r="AE98" s="259"/>
      <c r="AF98" s="75" t="str">
        <f>IF($A98&lt;&gt;9999,IF($C98=2,VLOOKUP($A98,中間シート!$D$187:$T$276,16,FALSE),VLOOKUP($A98,中間シート!$D$187:$T$276,11,FALSE)),"")</f>
        <v/>
      </c>
      <c r="AG98" s="70"/>
      <c r="AH98" s="70"/>
      <c r="AI98" s="70"/>
      <c r="AJ98" s="70"/>
      <c r="AK98" s="71"/>
    </row>
    <row r="99" spans="1:37" ht="16.5" customHeight="1" x14ac:dyDescent="0.2">
      <c r="A99" s="20">
        <f>中間シート!AI239</f>
        <v>9999</v>
      </c>
      <c r="B99" s="20" t="str">
        <f>中間シート!AK239</f>
        <v>事業場99</v>
      </c>
      <c r="C99" s="20" t="e">
        <f>中間シート!AJ239</f>
        <v>#N/A</v>
      </c>
      <c r="D99" s="20" t="str">
        <f>VLOOKUP($A99,中間シート!$D$187:$K$276,4)</f>
        <v/>
      </c>
      <c r="E99" s="20" t="str">
        <f>VLOOKUP($A99,中間シート!$D$187:$K$276,5)</f>
        <v/>
      </c>
      <c r="F99" s="20" t="str">
        <f>VLOOKUP($A99,中間シート!$D$187:$K$276,6)</f>
        <v/>
      </c>
      <c r="G99" s="20" t="str">
        <f>VLOOKUP($A99,中間シート!$D$187:$K$276,7)</f>
        <v/>
      </c>
      <c r="H99" s="20" t="str">
        <f>VLOOKUP($A99,中間シート!$D$187:$K$276,8)</f>
        <v/>
      </c>
      <c r="J99" s="248" t="str">
        <f t="shared" si="0"/>
        <v/>
      </c>
      <c r="K99" s="248"/>
      <c r="L99" s="248"/>
      <c r="M99" s="248"/>
      <c r="N99" s="260" t="str">
        <f>IF($A99&lt;&gt;9999,IF($C99=2,VLOOKUP($A99,中間シート!$D$187:$T$276,14,FALSE),VLOOKUP($A99,中間シート!$D$187:$T$276,9,FALSE)),"")</f>
        <v/>
      </c>
      <c r="O99" s="261"/>
      <c r="P99" s="261"/>
      <c r="Q99" s="261"/>
      <c r="R99" s="261"/>
      <c r="S99" s="261"/>
      <c r="T99" s="262"/>
      <c r="U99" s="258" t="s">
        <v>516</v>
      </c>
      <c r="V99" s="259"/>
      <c r="W99" s="260" t="str">
        <f>IF($A99&lt;&gt;9999,IF($C99=2,VLOOKUP($A99,中間シート!$D$187:$T$276,15,FALSE),VLOOKUP($A99,中間シート!$D$187:$T$276,10,FALSE)),"")</f>
        <v/>
      </c>
      <c r="X99" s="261"/>
      <c r="Y99" s="261"/>
      <c r="Z99" s="261"/>
      <c r="AA99" s="261"/>
      <c r="AB99" s="261"/>
      <c r="AC99" s="262"/>
      <c r="AD99" s="258" t="s">
        <v>516</v>
      </c>
      <c r="AE99" s="259"/>
      <c r="AF99" s="75" t="str">
        <f>IF($A99&lt;&gt;9999,IF($C99=2,VLOOKUP($A99,中間シート!$D$187:$T$276,16,FALSE),VLOOKUP($A99,中間シート!$D$187:$T$276,11,FALSE)),"")</f>
        <v/>
      </c>
      <c r="AG99" s="70"/>
      <c r="AH99" s="70"/>
      <c r="AI99" s="70"/>
      <c r="AJ99" s="70"/>
      <c r="AK99" s="71"/>
    </row>
    <row r="100" spans="1:37" ht="16.5" customHeight="1" x14ac:dyDescent="0.2">
      <c r="A100" s="20">
        <f>中間シート!AI240</f>
        <v>9999</v>
      </c>
      <c r="B100" s="20" t="str">
        <f>中間シート!AK240</f>
        <v>事業場99</v>
      </c>
      <c r="C100" s="20" t="e">
        <f>中間シート!AJ240</f>
        <v>#N/A</v>
      </c>
      <c r="D100" s="20" t="str">
        <f>VLOOKUP($A100,中間シート!$D$187:$K$276,4)</f>
        <v/>
      </c>
      <c r="E100" s="20" t="str">
        <f>VLOOKUP($A100,中間シート!$D$187:$K$276,5)</f>
        <v/>
      </c>
      <c r="F100" s="20" t="str">
        <f>VLOOKUP($A100,中間シート!$D$187:$K$276,6)</f>
        <v/>
      </c>
      <c r="G100" s="20" t="str">
        <f>VLOOKUP($A100,中間シート!$D$187:$K$276,7)</f>
        <v/>
      </c>
      <c r="H100" s="20" t="str">
        <f>VLOOKUP($A100,中間シート!$D$187:$K$276,8)</f>
        <v/>
      </c>
      <c r="J100" s="248" t="str">
        <f t="shared" si="0"/>
        <v/>
      </c>
      <c r="K100" s="248"/>
      <c r="L100" s="248"/>
      <c r="M100" s="248"/>
      <c r="N100" s="260" t="str">
        <f>IF($A100&lt;&gt;9999,IF($C100=2,VLOOKUP($A100,中間シート!$D$187:$T$276,14,FALSE),VLOOKUP($A100,中間シート!$D$187:$T$276,9,FALSE)),"")</f>
        <v/>
      </c>
      <c r="O100" s="261"/>
      <c r="P100" s="261"/>
      <c r="Q100" s="261"/>
      <c r="R100" s="261"/>
      <c r="S100" s="261"/>
      <c r="T100" s="262"/>
      <c r="U100" s="258" t="s">
        <v>516</v>
      </c>
      <c r="V100" s="259"/>
      <c r="W100" s="260" t="str">
        <f>IF($A100&lt;&gt;9999,IF($C100=2,VLOOKUP($A100,中間シート!$D$187:$T$276,15,FALSE),VLOOKUP($A100,中間シート!$D$187:$T$276,10,FALSE)),"")</f>
        <v/>
      </c>
      <c r="X100" s="261"/>
      <c r="Y100" s="261"/>
      <c r="Z100" s="261"/>
      <c r="AA100" s="261"/>
      <c r="AB100" s="261"/>
      <c r="AC100" s="262"/>
      <c r="AD100" s="258" t="s">
        <v>516</v>
      </c>
      <c r="AE100" s="259"/>
      <c r="AF100" s="75" t="str">
        <f>IF($A100&lt;&gt;9999,IF($C100=2,VLOOKUP($A100,中間シート!$D$187:$T$276,16,FALSE),VLOOKUP($A100,中間シート!$D$187:$T$276,11,FALSE)),"")</f>
        <v/>
      </c>
      <c r="AG100" s="70"/>
      <c r="AH100" s="70"/>
      <c r="AI100" s="70"/>
      <c r="AJ100" s="70"/>
      <c r="AK100" s="71"/>
    </row>
    <row r="101" spans="1:37" ht="16.5" customHeight="1" x14ac:dyDescent="0.2">
      <c r="A101" s="20">
        <f>中間シート!AI241</f>
        <v>9999</v>
      </c>
      <c r="B101" s="20" t="str">
        <f>中間シート!AK241</f>
        <v>事業場99</v>
      </c>
      <c r="C101" s="20" t="e">
        <f>中間シート!AJ241</f>
        <v>#N/A</v>
      </c>
      <c r="D101" s="20" t="str">
        <f>VLOOKUP($A101,中間シート!$D$187:$K$276,4)</f>
        <v/>
      </c>
      <c r="E101" s="20" t="str">
        <f>VLOOKUP($A101,中間シート!$D$187:$K$276,5)</f>
        <v/>
      </c>
      <c r="F101" s="20" t="str">
        <f>VLOOKUP($A101,中間シート!$D$187:$K$276,6)</f>
        <v/>
      </c>
      <c r="G101" s="20" t="str">
        <f>VLOOKUP($A101,中間シート!$D$187:$K$276,7)</f>
        <v/>
      </c>
      <c r="H101" s="20" t="str">
        <f>VLOOKUP($A101,中間シート!$D$187:$K$276,8)</f>
        <v/>
      </c>
      <c r="J101" s="248" t="str">
        <f t="shared" si="0"/>
        <v/>
      </c>
      <c r="K101" s="248"/>
      <c r="L101" s="248"/>
      <c r="M101" s="248"/>
      <c r="N101" s="260" t="str">
        <f>IF($A101&lt;&gt;9999,IF($C101=2,VLOOKUP($A101,中間シート!$D$187:$T$276,14,FALSE),VLOOKUP($A101,中間シート!$D$187:$T$276,9,FALSE)),"")</f>
        <v/>
      </c>
      <c r="O101" s="261"/>
      <c r="P101" s="261"/>
      <c r="Q101" s="261"/>
      <c r="R101" s="261"/>
      <c r="S101" s="261"/>
      <c r="T101" s="262"/>
      <c r="U101" s="258" t="s">
        <v>516</v>
      </c>
      <c r="V101" s="259"/>
      <c r="W101" s="260" t="str">
        <f>IF($A101&lt;&gt;9999,IF($C101=2,VLOOKUP($A101,中間シート!$D$187:$T$276,15,FALSE),VLOOKUP($A101,中間シート!$D$187:$T$276,10,FALSE)),"")</f>
        <v/>
      </c>
      <c r="X101" s="261"/>
      <c r="Y101" s="261"/>
      <c r="Z101" s="261"/>
      <c r="AA101" s="261"/>
      <c r="AB101" s="261"/>
      <c r="AC101" s="262"/>
      <c r="AD101" s="258" t="s">
        <v>516</v>
      </c>
      <c r="AE101" s="259"/>
      <c r="AF101" s="75" t="str">
        <f>IF($A101&lt;&gt;9999,IF($C101=2,VLOOKUP($A101,中間シート!$D$187:$T$276,16,FALSE),VLOOKUP($A101,中間シート!$D$187:$T$276,11,FALSE)),"")</f>
        <v/>
      </c>
      <c r="AG101" s="70"/>
      <c r="AH101" s="70"/>
      <c r="AI101" s="70"/>
      <c r="AJ101" s="70"/>
      <c r="AK101" s="71"/>
    </row>
    <row r="102" spans="1:37" ht="16.5" customHeight="1" x14ac:dyDescent="0.2">
      <c r="A102" s="20">
        <f>中間シート!AI242</f>
        <v>9999</v>
      </c>
      <c r="B102" s="20" t="str">
        <f>中間シート!AK242</f>
        <v>事業場99</v>
      </c>
      <c r="C102" s="20" t="e">
        <f>中間シート!AJ242</f>
        <v>#N/A</v>
      </c>
      <c r="D102" s="20" t="str">
        <f>VLOOKUP($A102,中間シート!$D$187:$K$276,4)</f>
        <v/>
      </c>
      <c r="E102" s="20" t="str">
        <f>VLOOKUP($A102,中間シート!$D$187:$K$276,5)</f>
        <v/>
      </c>
      <c r="F102" s="20" t="str">
        <f>VLOOKUP($A102,中間シート!$D$187:$K$276,6)</f>
        <v/>
      </c>
      <c r="G102" s="20" t="str">
        <f>VLOOKUP($A102,中間シート!$D$187:$K$276,7)</f>
        <v/>
      </c>
      <c r="H102" s="20" t="str">
        <f>VLOOKUP($A102,中間シート!$D$187:$K$276,8)</f>
        <v/>
      </c>
      <c r="J102" s="248" t="str">
        <f t="shared" si="0"/>
        <v/>
      </c>
      <c r="K102" s="248"/>
      <c r="L102" s="248"/>
      <c r="M102" s="248"/>
      <c r="N102" s="260" t="str">
        <f>IF($A102&lt;&gt;9999,IF($C102=2,VLOOKUP($A102,中間シート!$D$187:$T$276,14,FALSE),VLOOKUP($A102,中間シート!$D$187:$T$276,9,FALSE)),"")</f>
        <v/>
      </c>
      <c r="O102" s="261"/>
      <c r="P102" s="261"/>
      <c r="Q102" s="261"/>
      <c r="R102" s="261"/>
      <c r="S102" s="261"/>
      <c r="T102" s="262"/>
      <c r="U102" s="258" t="s">
        <v>516</v>
      </c>
      <c r="V102" s="259"/>
      <c r="W102" s="260" t="str">
        <f>IF($A102&lt;&gt;9999,IF($C102=2,VLOOKUP($A102,中間シート!$D$187:$T$276,15,FALSE),VLOOKUP($A102,中間シート!$D$187:$T$276,10,FALSE)),"")</f>
        <v/>
      </c>
      <c r="X102" s="261"/>
      <c r="Y102" s="261"/>
      <c r="Z102" s="261"/>
      <c r="AA102" s="261"/>
      <c r="AB102" s="261"/>
      <c r="AC102" s="262"/>
      <c r="AD102" s="258" t="s">
        <v>516</v>
      </c>
      <c r="AE102" s="259"/>
      <c r="AF102" s="75" t="str">
        <f>IF($A102&lt;&gt;9999,IF($C102=2,VLOOKUP($A102,中間シート!$D$187:$T$276,16,FALSE),VLOOKUP($A102,中間シート!$D$187:$T$276,11,FALSE)),"")</f>
        <v/>
      </c>
      <c r="AG102" s="70"/>
      <c r="AH102" s="70"/>
      <c r="AI102" s="70"/>
      <c r="AJ102" s="70"/>
      <c r="AK102" s="71"/>
    </row>
    <row r="103" spans="1:37" ht="16.5" customHeight="1" x14ac:dyDescent="0.2">
      <c r="A103" s="20">
        <f>中間シート!AI243</f>
        <v>9999</v>
      </c>
      <c r="B103" s="20" t="str">
        <f>中間シート!AK243</f>
        <v>事業場99</v>
      </c>
      <c r="C103" s="20" t="e">
        <f>中間シート!AJ243</f>
        <v>#N/A</v>
      </c>
      <c r="D103" s="20" t="str">
        <f>VLOOKUP($A103,中間シート!$D$187:$K$276,4)</f>
        <v/>
      </c>
      <c r="E103" s="20" t="str">
        <f>VLOOKUP($A103,中間シート!$D$187:$K$276,5)</f>
        <v/>
      </c>
      <c r="F103" s="20" t="str">
        <f>VLOOKUP($A103,中間シート!$D$187:$K$276,6)</f>
        <v/>
      </c>
      <c r="G103" s="20" t="str">
        <f>VLOOKUP($A103,中間シート!$D$187:$K$276,7)</f>
        <v/>
      </c>
      <c r="H103" s="20" t="str">
        <f>VLOOKUP($A103,中間シート!$D$187:$K$276,8)</f>
        <v/>
      </c>
      <c r="J103" s="248" t="str">
        <f t="shared" si="0"/>
        <v/>
      </c>
      <c r="K103" s="248"/>
      <c r="L103" s="248"/>
      <c r="M103" s="248"/>
      <c r="N103" s="260" t="str">
        <f>IF($A103&lt;&gt;9999,IF($C103=2,VLOOKUP($A103,中間シート!$D$187:$T$276,14,FALSE),VLOOKUP($A103,中間シート!$D$187:$T$276,9,FALSE)),"")</f>
        <v/>
      </c>
      <c r="O103" s="261"/>
      <c r="P103" s="261"/>
      <c r="Q103" s="261"/>
      <c r="R103" s="261"/>
      <c r="S103" s="261"/>
      <c r="T103" s="262"/>
      <c r="U103" s="258" t="s">
        <v>516</v>
      </c>
      <c r="V103" s="259"/>
      <c r="W103" s="260" t="str">
        <f>IF($A103&lt;&gt;9999,IF($C103=2,VLOOKUP($A103,中間シート!$D$187:$T$276,15,FALSE),VLOOKUP($A103,中間シート!$D$187:$T$276,10,FALSE)),"")</f>
        <v/>
      </c>
      <c r="X103" s="261"/>
      <c r="Y103" s="261"/>
      <c r="Z103" s="261"/>
      <c r="AA103" s="261"/>
      <c r="AB103" s="261"/>
      <c r="AC103" s="262"/>
      <c r="AD103" s="258" t="s">
        <v>516</v>
      </c>
      <c r="AE103" s="259"/>
      <c r="AF103" s="75" t="str">
        <f>IF($A103&lt;&gt;9999,IF($C103=2,VLOOKUP($A103,中間シート!$D$187:$T$276,16,FALSE),VLOOKUP($A103,中間シート!$D$187:$T$276,11,FALSE)),"")</f>
        <v/>
      </c>
      <c r="AG103" s="70"/>
      <c r="AH103" s="70"/>
      <c r="AI103" s="70"/>
      <c r="AJ103" s="70"/>
      <c r="AK103" s="71"/>
    </row>
    <row r="104" spans="1:37" ht="16.5" customHeight="1" x14ac:dyDescent="0.2">
      <c r="A104" s="20">
        <f>中間シート!AI244</f>
        <v>9999</v>
      </c>
      <c r="B104" s="20" t="str">
        <f>中間シート!AK244</f>
        <v>事業場99</v>
      </c>
      <c r="C104" s="20" t="e">
        <f>中間シート!AJ244</f>
        <v>#N/A</v>
      </c>
      <c r="D104" s="20" t="str">
        <f>VLOOKUP($A104,中間シート!$D$187:$K$276,4)</f>
        <v/>
      </c>
      <c r="E104" s="20" t="str">
        <f>VLOOKUP($A104,中間シート!$D$187:$K$276,5)</f>
        <v/>
      </c>
      <c r="F104" s="20" t="str">
        <f>VLOOKUP($A104,中間シート!$D$187:$K$276,6)</f>
        <v/>
      </c>
      <c r="G104" s="20" t="str">
        <f>VLOOKUP($A104,中間シート!$D$187:$K$276,7)</f>
        <v/>
      </c>
      <c r="H104" s="20" t="str">
        <f>VLOOKUP($A104,中間シート!$D$187:$K$276,8)</f>
        <v/>
      </c>
      <c r="J104" s="248" t="str">
        <f t="shared" si="0"/>
        <v/>
      </c>
      <c r="K104" s="248"/>
      <c r="L104" s="248"/>
      <c r="M104" s="248"/>
      <c r="N104" s="260" t="str">
        <f>IF($A104&lt;&gt;9999,IF($C104=2,VLOOKUP($A104,中間シート!$D$187:$T$276,14,FALSE),VLOOKUP($A104,中間シート!$D$187:$T$276,9,FALSE)),"")</f>
        <v/>
      </c>
      <c r="O104" s="261"/>
      <c r="P104" s="261"/>
      <c r="Q104" s="261"/>
      <c r="R104" s="261"/>
      <c r="S104" s="261"/>
      <c r="T104" s="262"/>
      <c r="U104" s="258" t="s">
        <v>516</v>
      </c>
      <c r="V104" s="259"/>
      <c r="W104" s="260" t="str">
        <f>IF($A104&lt;&gt;9999,IF($C104=2,VLOOKUP($A104,中間シート!$D$187:$T$276,15,FALSE),VLOOKUP($A104,中間シート!$D$187:$T$276,10,FALSE)),"")</f>
        <v/>
      </c>
      <c r="X104" s="261"/>
      <c r="Y104" s="261"/>
      <c r="Z104" s="261"/>
      <c r="AA104" s="261"/>
      <c r="AB104" s="261"/>
      <c r="AC104" s="262"/>
      <c r="AD104" s="258" t="s">
        <v>516</v>
      </c>
      <c r="AE104" s="259"/>
      <c r="AF104" s="75" t="str">
        <f>IF($A104&lt;&gt;9999,IF($C104=2,VLOOKUP($A104,中間シート!$D$187:$T$276,16,FALSE),VLOOKUP($A104,中間シート!$D$187:$T$276,11,FALSE)),"")</f>
        <v/>
      </c>
      <c r="AG104" s="70"/>
      <c r="AH104" s="70"/>
      <c r="AI104" s="70"/>
      <c r="AJ104" s="70"/>
      <c r="AK104" s="71"/>
    </row>
    <row r="105" spans="1:37" ht="16.5" customHeight="1" x14ac:dyDescent="0.2">
      <c r="A105" s="20">
        <f>中間シート!AI245</f>
        <v>9999</v>
      </c>
      <c r="B105" s="20" t="str">
        <f>中間シート!AK245</f>
        <v>事業場99</v>
      </c>
      <c r="C105" s="20" t="e">
        <f>中間シート!AJ245</f>
        <v>#N/A</v>
      </c>
      <c r="D105" s="20" t="str">
        <f>VLOOKUP($A105,中間シート!$D$187:$K$276,4)</f>
        <v/>
      </c>
      <c r="E105" s="20" t="str">
        <f>VLOOKUP($A105,中間シート!$D$187:$K$276,5)</f>
        <v/>
      </c>
      <c r="F105" s="20" t="str">
        <f>VLOOKUP($A105,中間シート!$D$187:$K$276,6)</f>
        <v/>
      </c>
      <c r="G105" s="20" t="str">
        <f>VLOOKUP($A105,中間シート!$D$187:$K$276,7)</f>
        <v/>
      </c>
      <c r="H105" s="20" t="str">
        <f>VLOOKUP($A105,中間シート!$D$187:$K$276,8)</f>
        <v/>
      </c>
      <c r="J105" s="248" t="str">
        <f t="shared" si="0"/>
        <v/>
      </c>
      <c r="K105" s="248"/>
      <c r="L105" s="248"/>
      <c r="M105" s="248"/>
      <c r="N105" s="260" t="str">
        <f>IF($A105&lt;&gt;9999,IF($C105=2,VLOOKUP($A105,中間シート!$D$187:$T$276,14,FALSE),VLOOKUP($A105,中間シート!$D$187:$T$276,9,FALSE)),"")</f>
        <v/>
      </c>
      <c r="O105" s="261"/>
      <c r="P105" s="261"/>
      <c r="Q105" s="261"/>
      <c r="R105" s="261"/>
      <c r="S105" s="261"/>
      <c r="T105" s="262"/>
      <c r="U105" s="258" t="s">
        <v>516</v>
      </c>
      <c r="V105" s="259"/>
      <c r="W105" s="260" t="str">
        <f>IF($A105&lt;&gt;9999,IF($C105=2,VLOOKUP($A105,中間シート!$D$187:$T$276,15,FALSE),VLOOKUP($A105,中間シート!$D$187:$T$276,10,FALSE)),"")</f>
        <v/>
      </c>
      <c r="X105" s="261"/>
      <c r="Y105" s="261"/>
      <c r="Z105" s="261"/>
      <c r="AA105" s="261"/>
      <c r="AB105" s="261"/>
      <c r="AC105" s="262"/>
      <c r="AD105" s="258" t="s">
        <v>516</v>
      </c>
      <c r="AE105" s="259"/>
      <c r="AF105" s="75" t="str">
        <f>IF($A105&lt;&gt;9999,IF($C105=2,VLOOKUP($A105,中間シート!$D$187:$T$276,16,FALSE),VLOOKUP($A105,中間シート!$D$187:$T$276,11,FALSE)),"")</f>
        <v/>
      </c>
      <c r="AG105" s="70"/>
      <c r="AH105" s="70"/>
      <c r="AI105" s="70"/>
      <c r="AJ105" s="70"/>
      <c r="AK105" s="71"/>
    </row>
    <row r="106" spans="1:37" ht="16.5" customHeight="1" x14ac:dyDescent="0.2">
      <c r="A106" s="20">
        <f>中間シート!AI246</f>
        <v>9999</v>
      </c>
      <c r="B106" s="20" t="str">
        <f>中間シート!AK246</f>
        <v>事業場99</v>
      </c>
      <c r="C106" s="20" t="e">
        <f>中間シート!AJ246</f>
        <v>#N/A</v>
      </c>
      <c r="D106" s="20" t="str">
        <f>VLOOKUP($A106,中間シート!$D$187:$K$276,4)</f>
        <v/>
      </c>
      <c r="E106" s="20" t="str">
        <f>VLOOKUP($A106,中間シート!$D$187:$K$276,5)</f>
        <v/>
      </c>
      <c r="F106" s="20" t="str">
        <f>VLOOKUP($A106,中間シート!$D$187:$K$276,6)</f>
        <v/>
      </c>
      <c r="G106" s="20" t="str">
        <f>VLOOKUP($A106,中間シート!$D$187:$K$276,7)</f>
        <v/>
      </c>
      <c r="H106" s="20" t="str">
        <f>VLOOKUP($A106,中間シート!$D$187:$K$276,8)</f>
        <v/>
      </c>
      <c r="J106" s="248" t="str">
        <f t="shared" si="0"/>
        <v/>
      </c>
      <c r="K106" s="248"/>
      <c r="L106" s="248"/>
      <c r="M106" s="248"/>
      <c r="N106" s="260" t="str">
        <f>IF($A106&lt;&gt;9999,IF($C106=2,VLOOKUP($A106,中間シート!$D$187:$T$276,14,FALSE),VLOOKUP($A106,中間シート!$D$187:$T$276,9,FALSE)),"")</f>
        <v/>
      </c>
      <c r="O106" s="261"/>
      <c r="P106" s="261"/>
      <c r="Q106" s="261"/>
      <c r="R106" s="261"/>
      <c r="S106" s="261"/>
      <c r="T106" s="262"/>
      <c r="U106" s="258" t="s">
        <v>516</v>
      </c>
      <c r="V106" s="259"/>
      <c r="W106" s="260" t="str">
        <f>IF($A106&lt;&gt;9999,IF($C106=2,VLOOKUP($A106,中間シート!$D$187:$T$276,15,FALSE),VLOOKUP($A106,中間シート!$D$187:$T$276,10,FALSE)),"")</f>
        <v/>
      </c>
      <c r="X106" s="261"/>
      <c r="Y106" s="261"/>
      <c r="Z106" s="261"/>
      <c r="AA106" s="261"/>
      <c r="AB106" s="261"/>
      <c r="AC106" s="262"/>
      <c r="AD106" s="258" t="s">
        <v>516</v>
      </c>
      <c r="AE106" s="259"/>
      <c r="AF106" s="75" t="str">
        <f>IF($A106&lt;&gt;9999,IF($C106=2,VLOOKUP($A106,中間シート!$D$187:$T$276,16,FALSE),VLOOKUP($A106,中間シート!$D$187:$T$276,11,FALSE)),"")</f>
        <v/>
      </c>
      <c r="AG106" s="70"/>
      <c r="AH106" s="70"/>
      <c r="AI106" s="70"/>
      <c r="AJ106" s="70"/>
      <c r="AK106" s="71"/>
    </row>
    <row r="107" spans="1:37" ht="16.5" customHeight="1" x14ac:dyDescent="0.2">
      <c r="A107" s="20">
        <f>中間シート!AI247</f>
        <v>9999</v>
      </c>
      <c r="B107" s="20" t="str">
        <f>中間シート!AK247</f>
        <v>事業場99</v>
      </c>
      <c r="C107" s="20" t="e">
        <f>中間シート!AJ247</f>
        <v>#N/A</v>
      </c>
      <c r="D107" s="20" t="str">
        <f>VLOOKUP($A107,中間シート!$D$187:$K$276,4)</f>
        <v/>
      </c>
      <c r="E107" s="20" t="str">
        <f>VLOOKUP($A107,中間シート!$D$187:$K$276,5)</f>
        <v/>
      </c>
      <c r="F107" s="20" t="str">
        <f>VLOOKUP($A107,中間シート!$D$187:$K$276,6)</f>
        <v/>
      </c>
      <c r="G107" s="20" t="str">
        <f>VLOOKUP($A107,中間シート!$D$187:$K$276,7)</f>
        <v/>
      </c>
      <c r="H107" s="20" t="str">
        <f>VLOOKUP($A107,中間シート!$D$187:$K$276,8)</f>
        <v/>
      </c>
      <c r="J107" s="248" t="str">
        <f t="shared" si="0"/>
        <v/>
      </c>
      <c r="K107" s="248"/>
      <c r="L107" s="248"/>
      <c r="M107" s="248"/>
      <c r="N107" s="260" t="str">
        <f>IF($A107&lt;&gt;9999,IF($C107=2,VLOOKUP($A107,中間シート!$D$187:$T$276,14,FALSE),VLOOKUP($A107,中間シート!$D$187:$T$276,9,FALSE)),"")</f>
        <v/>
      </c>
      <c r="O107" s="261"/>
      <c r="P107" s="261"/>
      <c r="Q107" s="261"/>
      <c r="R107" s="261"/>
      <c r="S107" s="261"/>
      <c r="T107" s="262"/>
      <c r="U107" s="258" t="s">
        <v>516</v>
      </c>
      <c r="V107" s="259"/>
      <c r="W107" s="260" t="str">
        <f>IF($A107&lt;&gt;9999,IF($C107=2,VLOOKUP($A107,中間シート!$D$187:$T$276,15,FALSE),VLOOKUP($A107,中間シート!$D$187:$T$276,10,FALSE)),"")</f>
        <v/>
      </c>
      <c r="X107" s="261"/>
      <c r="Y107" s="261"/>
      <c r="Z107" s="261"/>
      <c r="AA107" s="261"/>
      <c r="AB107" s="261"/>
      <c r="AC107" s="262"/>
      <c r="AD107" s="258" t="s">
        <v>516</v>
      </c>
      <c r="AE107" s="259"/>
      <c r="AF107" s="75" t="str">
        <f>IF($A107&lt;&gt;9999,IF($C107=2,VLOOKUP($A107,中間シート!$D$187:$T$276,16,FALSE),VLOOKUP($A107,中間シート!$D$187:$T$276,11,FALSE)),"")</f>
        <v/>
      </c>
      <c r="AG107" s="70"/>
      <c r="AH107" s="70"/>
      <c r="AI107" s="70"/>
      <c r="AJ107" s="70"/>
      <c r="AK107" s="71"/>
    </row>
    <row r="108" spans="1:37" ht="16.5" customHeight="1" x14ac:dyDescent="0.2">
      <c r="A108" s="20">
        <f>中間シート!AI248</f>
        <v>9999</v>
      </c>
      <c r="B108" s="20" t="str">
        <f>中間シート!AK248</f>
        <v>事業場99</v>
      </c>
      <c r="C108" s="20" t="e">
        <f>中間シート!AJ248</f>
        <v>#N/A</v>
      </c>
      <c r="D108" s="20" t="str">
        <f>VLOOKUP($A108,中間シート!$D$187:$K$276,4)</f>
        <v/>
      </c>
      <c r="E108" s="20" t="str">
        <f>VLOOKUP($A108,中間シート!$D$187:$K$276,5)</f>
        <v/>
      </c>
      <c r="F108" s="20" t="str">
        <f>VLOOKUP($A108,中間シート!$D$187:$K$276,6)</f>
        <v/>
      </c>
      <c r="G108" s="20" t="str">
        <f>VLOOKUP($A108,中間シート!$D$187:$K$276,7)</f>
        <v/>
      </c>
      <c r="H108" s="20" t="str">
        <f>VLOOKUP($A108,中間シート!$D$187:$K$276,8)</f>
        <v/>
      </c>
      <c r="J108" s="248" t="str">
        <f t="shared" si="0"/>
        <v/>
      </c>
      <c r="K108" s="248"/>
      <c r="L108" s="248"/>
      <c r="M108" s="248"/>
      <c r="N108" s="260" t="str">
        <f>IF($A108&lt;&gt;9999,IF($C108=2,VLOOKUP($A108,中間シート!$D$187:$T$276,14,FALSE),VLOOKUP($A108,中間シート!$D$187:$T$276,9,FALSE)),"")</f>
        <v/>
      </c>
      <c r="O108" s="261"/>
      <c r="P108" s="261"/>
      <c r="Q108" s="261"/>
      <c r="R108" s="261"/>
      <c r="S108" s="261"/>
      <c r="T108" s="262"/>
      <c r="U108" s="258" t="s">
        <v>516</v>
      </c>
      <c r="V108" s="259"/>
      <c r="W108" s="260" t="str">
        <f>IF($A108&lt;&gt;9999,IF($C108=2,VLOOKUP($A108,中間シート!$D$187:$T$276,15,FALSE),VLOOKUP($A108,中間シート!$D$187:$T$276,10,FALSE)),"")</f>
        <v/>
      </c>
      <c r="X108" s="261"/>
      <c r="Y108" s="261"/>
      <c r="Z108" s="261"/>
      <c r="AA108" s="261"/>
      <c r="AB108" s="261"/>
      <c r="AC108" s="262"/>
      <c r="AD108" s="258" t="s">
        <v>516</v>
      </c>
      <c r="AE108" s="259"/>
      <c r="AF108" s="75" t="str">
        <f>IF($A108&lt;&gt;9999,IF($C108=2,VLOOKUP($A108,中間シート!$D$187:$T$276,16,FALSE),VLOOKUP($A108,中間シート!$D$187:$T$276,11,FALSE)),"")</f>
        <v/>
      </c>
      <c r="AG108" s="70"/>
      <c r="AH108" s="70"/>
      <c r="AI108" s="70"/>
      <c r="AJ108" s="70"/>
      <c r="AK108" s="71"/>
    </row>
    <row r="109" spans="1:37" ht="16.5" customHeight="1" x14ac:dyDescent="0.2">
      <c r="A109" s="20">
        <f>中間シート!AI249</f>
        <v>9999</v>
      </c>
      <c r="B109" s="20" t="str">
        <f>中間シート!AK249</f>
        <v>事業場99</v>
      </c>
      <c r="C109" s="20" t="e">
        <f>中間シート!AJ249</f>
        <v>#N/A</v>
      </c>
      <c r="D109" s="20" t="str">
        <f>VLOOKUP($A109,中間シート!$D$187:$K$276,4)</f>
        <v/>
      </c>
      <c r="E109" s="20" t="str">
        <f>VLOOKUP($A109,中間シート!$D$187:$K$276,5)</f>
        <v/>
      </c>
      <c r="F109" s="20" t="str">
        <f>VLOOKUP($A109,中間シート!$D$187:$K$276,6)</f>
        <v/>
      </c>
      <c r="G109" s="20" t="str">
        <f>VLOOKUP($A109,中間シート!$D$187:$K$276,7)</f>
        <v/>
      </c>
      <c r="H109" s="20" t="str">
        <f>VLOOKUP($A109,中間シート!$D$187:$K$276,8)</f>
        <v/>
      </c>
      <c r="J109" s="248" t="str">
        <f t="shared" si="0"/>
        <v/>
      </c>
      <c r="K109" s="248"/>
      <c r="L109" s="248"/>
      <c r="M109" s="248"/>
      <c r="N109" s="260" t="str">
        <f>IF($A109&lt;&gt;9999,IF($C109=2,VLOOKUP($A109,中間シート!$D$187:$T$276,14,FALSE),VLOOKUP($A109,中間シート!$D$187:$T$276,9,FALSE)),"")</f>
        <v/>
      </c>
      <c r="O109" s="261"/>
      <c r="P109" s="261"/>
      <c r="Q109" s="261"/>
      <c r="R109" s="261"/>
      <c r="S109" s="261"/>
      <c r="T109" s="262"/>
      <c r="U109" s="258" t="s">
        <v>516</v>
      </c>
      <c r="V109" s="259"/>
      <c r="W109" s="260" t="str">
        <f>IF($A109&lt;&gt;9999,IF($C109=2,VLOOKUP($A109,中間シート!$D$187:$T$276,15,FALSE),VLOOKUP($A109,中間シート!$D$187:$T$276,10,FALSE)),"")</f>
        <v/>
      </c>
      <c r="X109" s="261"/>
      <c r="Y109" s="261"/>
      <c r="Z109" s="261"/>
      <c r="AA109" s="261"/>
      <c r="AB109" s="261"/>
      <c r="AC109" s="262"/>
      <c r="AD109" s="258" t="s">
        <v>516</v>
      </c>
      <c r="AE109" s="259"/>
      <c r="AF109" s="75" t="str">
        <f>IF($A109&lt;&gt;9999,IF($C109=2,VLOOKUP($A109,中間シート!$D$187:$T$276,16,FALSE),VLOOKUP($A109,中間シート!$D$187:$T$276,11,FALSE)),"")</f>
        <v/>
      </c>
      <c r="AG109" s="70"/>
      <c r="AH109" s="70"/>
      <c r="AI109" s="70"/>
      <c r="AJ109" s="70"/>
      <c r="AK109" s="71"/>
    </row>
    <row r="110" spans="1:37" ht="16.5" customHeight="1" x14ac:dyDescent="0.2">
      <c r="A110" s="20">
        <f>中間シート!AI250</f>
        <v>9999</v>
      </c>
      <c r="B110" s="20" t="str">
        <f>中間シート!AK250</f>
        <v>事業場99</v>
      </c>
      <c r="C110" s="20" t="e">
        <f>中間シート!AJ250</f>
        <v>#N/A</v>
      </c>
      <c r="D110" s="20" t="str">
        <f>VLOOKUP($A110,中間シート!$D$187:$K$276,4)</f>
        <v/>
      </c>
      <c r="E110" s="20" t="str">
        <f>VLOOKUP($A110,中間シート!$D$187:$K$276,5)</f>
        <v/>
      </c>
      <c r="F110" s="20" t="str">
        <f>VLOOKUP($A110,中間シート!$D$187:$K$276,6)</f>
        <v/>
      </c>
      <c r="G110" s="20" t="str">
        <f>VLOOKUP($A110,中間シート!$D$187:$K$276,7)</f>
        <v/>
      </c>
      <c r="H110" s="20" t="str">
        <f>VLOOKUP($A110,中間シート!$D$187:$K$276,8)</f>
        <v/>
      </c>
      <c r="J110" s="248" t="str">
        <f t="shared" si="0"/>
        <v/>
      </c>
      <c r="K110" s="248"/>
      <c r="L110" s="248"/>
      <c r="M110" s="248"/>
      <c r="N110" s="260" t="str">
        <f>IF($A110&lt;&gt;9999,IF($C110=2,VLOOKUP($A110,中間シート!$D$187:$T$276,14,FALSE),VLOOKUP($A110,中間シート!$D$187:$T$276,9,FALSE)),"")</f>
        <v/>
      </c>
      <c r="O110" s="261"/>
      <c r="P110" s="261"/>
      <c r="Q110" s="261"/>
      <c r="R110" s="261"/>
      <c r="S110" s="261"/>
      <c r="T110" s="262"/>
      <c r="U110" s="258" t="s">
        <v>516</v>
      </c>
      <c r="V110" s="259"/>
      <c r="W110" s="260" t="str">
        <f>IF($A110&lt;&gt;9999,IF($C110=2,VLOOKUP($A110,中間シート!$D$187:$T$276,15,FALSE),VLOOKUP($A110,中間シート!$D$187:$T$276,10,FALSE)),"")</f>
        <v/>
      </c>
      <c r="X110" s="261"/>
      <c r="Y110" s="261"/>
      <c r="Z110" s="261"/>
      <c r="AA110" s="261"/>
      <c r="AB110" s="261"/>
      <c r="AC110" s="262"/>
      <c r="AD110" s="258" t="s">
        <v>516</v>
      </c>
      <c r="AE110" s="259"/>
      <c r="AF110" s="75" t="str">
        <f>IF($A110&lt;&gt;9999,IF($C110=2,VLOOKUP($A110,中間シート!$D$187:$T$276,16,FALSE),VLOOKUP($A110,中間シート!$D$187:$T$276,11,FALSE)),"")</f>
        <v/>
      </c>
      <c r="AG110" s="70"/>
      <c r="AH110" s="70"/>
      <c r="AI110" s="70"/>
      <c r="AJ110" s="70"/>
      <c r="AK110" s="71"/>
    </row>
    <row r="111" spans="1:37" ht="16.5" customHeight="1" x14ac:dyDescent="0.2">
      <c r="A111" s="20">
        <f>中間シート!AI251</f>
        <v>9999</v>
      </c>
      <c r="B111" s="20" t="str">
        <f>中間シート!AK251</f>
        <v>事業場99</v>
      </c>
      <c r="C111" s="20" t="e">
        <f>中間シート!AJ251</f>
        <v>#N/A</v>
      </c>
      <c r="D111" s="20" t="str">
        <f>VLOOKUP($A111,中間シート!$D$187:$K$276,4)</f>
        <v/>
      </c>
      <c r="E111" s="20" t="str">
        <f>VLOOKUP($A111,中間シート!$D$187:$K$276,5)</f>
        <v/>
      </c>
      <c r="F111" s="20" t="str">
        <f>VLOOKUP($A111,中間シート!$D$187:$K$276,6)</f>
        <v/>
      </c>
      <c r="G111" s="20" t="str">
        <f>VLOOKUP($A111,中間シート!$D$187:$K$276,7)</f>
        <v/>
      </c>
      <c r="H111" s="20" t="str">
        <f>VLOOKUP($A111,中間シート!$D$187:$K$276,8)</f>
        <v/>
      </c>
      <c r="J111" s="248" t="str">
        <f t="shared" si="0"/>
        <v/>
      </c>
      <c r="K111" s="248"/>
      <c r="L111" s="248"/>
      <c r="M111" s="248"/>
      <c r="N111" s="260" t="str">
        <f>IF($A111&lt;&gt;9999,IF($C111=2,VLOOKUP($A111,中間シート!$D$187:$T$276,14,FALSE),VLOOKUP($A111,中間シート!$D$187:$T$276,9,FALSE)),"")</f>
        <v/>
      </c>
      <c r="O111" s="261"/>
      <c r="P111" s="261"/>
      <c r="Q111" s="261"/>
      <c r="R111" s="261"/>
      <c r="S111" s="261"/>
      <c r="T111" s="262"/>
      <c r="U111" s="258" t="s">
        <v>516</v>
      </c>
      <c r="V111" s="259"/>
      <c r="W111" s="260" t="str">
        <f>IF($A111&lt;&gt;9999,IF($C111=2,VLOOKUP($A111,中間シート!$D$187:$T$276,15,FALSE),VLOOKUP($A111,中間シート!$D$187:$T$276,10,FALSE)),"")</f>
        <v/>
      </c>
      <c r="X111" s="261"/>
      <c r="Y111" s="261"/>
      <c r="Z111" s="261"/>
      <c r="AA111" s="261"/>
      <c r="AB111" s="261"/>
      <c r="AC111" s="262"/>
      <c r="AD111" s="258" t="s">
        <v>516</v>
      </c>
      <c r="AE111" s="259"/>
      <c r="AF111" s="75" t="str">
        <f>IF($A111&lt;&gt;9999,IF($C111=2,VLOOKUP($A111,中間シート!$D$187:$T$276,16,FALSE),VLOOKUP($A111,中間シート!$D$187:$T$276,11,FALSE)),"")</f>
        <v/>
      </c>
      <c r="AG111" s="70"/>
      <c r="AH111" s="70"/>
      <c r="AI111" s="70"/>
      <c r="AJ111" s="70"/>
      <c r="AK111" s="71"/>
    </row>
    <row r="112" spans="1:37" ht="16.5" customHeight="1" x14ac:dyDescent="0.2">
      <c r="A112" s="20">
        <f>中間シート!AI252</f>
        <v>9999</v>
      </c>
      <c r="B112" s="20" t="str">
        <f>中間シート!AK252</f>
        <v>事業場99</v>
      </c>
      <c r="C112" s="20" t="e">
        <f>中間シート!AJ252</f>
        <v>#N/A</v>
      </c>
      <c r="D112" s="20" t="str">
        <f>VLOOKUP($A112,中間シート!$D$187:$K$276,4)</f>
        <v/>
      </c>
      <c r="E112" s="20" t="str">
        <f>VLOOKUP($A112,中間シート!$D$187:$K$276,5)</f>
        <v/>
      </c>
      <c r="F112" s="20" t="str">
        <f>VLOOKUP($A112,中間シート!$D$187:$K$276,6)</f>
        <v/>
      </c>
      <c r="G112" s="20" t="str">
        <f>VLOOKUP($A112,中間シート!$D$187:$K$276,7)</f>
        <v/>
      </c>
      <c r="H112" s="20" t="str">
        <f>VLOOKUP($A112,中間シート!$D$187:$K$276,8)</f>
        <v/>
      </c>
      <c r="J112" s="248" t="str">
        <f t="shared" si="0"/>
        <v/>
      </c>
      <c r="K112" s="248"/>
      <c r="L112" s="248"/>
      <c r="M112" s="248"/>
      <c r="N112" s="260" t="str">
        <f>IF($A112&lt;&gt;9999,IF($C112=2,VLOOKUP($A112,中間シート!$D$187:$T$276,14,FALSE),VLOOKUP($A112,中間シート!$D$187:$T$276,9,FALSE)),"")</f>
        <v/>
      </c>
      <c r="O112" s="261"/>
      <c r="P112" s="261"/>
      <c r="Q112" s="261"/>
      <c r="R112" s="261"/>
      <c r="S112" s="261"/>
      <c r="T112" s="262"/>
      <c r="U112" s="258" t="s">
        <v>516</v>
      </c>
      <c r="V112" s="259"/>
      <c r="W112" s="260" t="str">
        <f>IF($A112&lt;&gt;9999,IF($C112=2,VLOOKUP($A112,中間シート!$D$187:$T$276,15,FALSE),VLOOKUP($A112,中間シート!$D$187:$T$276,10,FALSE)),"")</f>
        <v/>
      </c>
      <c r="X112" s="261"/>
      <c r="Y112" s="261"/>
      <c r="Z112" s="261"/>
      <c r="AA112" s="261"/>
      <c r="AB112" s="261"/>
      <c r="AC112" s="262"/>
      <c r="AD112" s="258" t="s">
        <v>516</v>
      </c>
      <c r="AE112" s="259"/>
      <c r="AF112" s="75" t="str">
        <f>IF($A112&lt;&gt;9999,IF($C112=2,VLOOKUP($A112,中間シート!$D$187:$T$276,16,FALSE),VLOOKUP($A112,中間シート!$D$187:$T$276,11,FALSE)),"")</f>
        <v/>
      </c>
      <c r="AG112" s="70"/>
      <c r="AH112" s="70"/>
      <c r="AI112" s="70"/>
      <c r="AJ112" s="70"/>
      <c r="AK112" s="71"/>
    </row>
    <row r="113" spans="1:37" ht="16.5" customHeight="1" x14ac:dyDescent="0.2">
      <c r="A113" s="20">
        <f>中間シート!AI253</f>
        <v>9999</v>
      </c>
      <c r="B113" s="20" t="str">
        <f>中間シート!AK253</f>
        <v>事業場99</v>
      </c>
      <c r="C113" s="20" t="e">
        <f>中間シート!AJ253</f>
        <v>#N/A</v>
      </c>
      <c r="D113" s="20" t="str">
        <f>VLOOKUP($A113,中間シート!$D$187:$K$276,4)</f>
        <v/>
      </c>
      <c r="E113" s="20" t="str">
        <f>VLOOKUP($A113,中間シート!$D$187:$K$276,5)</f>
        <v/>
      </c>
      <c r="F113" s="20" t="str">
        <f>VLOOKUP($A113,中間シート!$D$187:$K$276,6)</f>
        <v/>
      </c>
      <c r="G113" s="20" t="str">
        <f>VLOOKUP($A113,中間シート!$D$187:$K$276,7)</f>
        <v/>
      </c>
      <c r="H113" s="20" t="str">
        <f>VLOOKUP($A113,中間シート!$D$187:$K$276,8)</f>
        <v/>
      </c>
      <c r="J113" s="248" t="str">
        <f t="shared" si="0"/>
        <v/>
      </c>
      <c r="K113" s="248"/>
      <c r="L113" s="248"/>
      <c r="M113" s="248"/>
      <c r="N113" s="260" t="str">
        <f>IF($A113&lt;&gt;9999,IF($C113=2,VLOOKUP($A113,中間シート!$D$187:$T$276,14,FALSE),VLOOKUP($A113,中間シート!$D$187:$T$276,9,FALSE)),"")</f>
        <v/>
      </c>
      <c r="O113" s="261"/>
      <c r="P113" s="261"/>
      <c r="Q113" s="261"/>
      <c r="R113" s="261"/>
      <c r="S113" s="261"/>
      <c r="T113" s="262"/>
      <c r="U113" s="258" t="s">
        <v>516</v>
      </c>
      <c r="V113" s="259"/>
      <c r="W113" s="260" t="str">
        <f>IF($A113&lt;&gt;9999,IF($C113=2,VLOOKUP($A113,中間シート!$D$187:$T$276,15,FALSE),VLOOKUP($A113,中間シート!$D$187:$T$276,10,FALSE)),"")</f>
        <v/>
      </c>
      <c r="X113" s="261"/>
      <c r="Y113" s="261"/>
      <c r="Z113" s="261"/>
      <c r="AA113" s="261"/>
      <c r="AB113" s="261"/>
      <c r="AC113" s="262"/>
      <c r="AD113" s="258" t="s">
        <v>516</v>
      </c>
      <c r="AE113" s="259"/>
      <c r="AF113" s="75" t="str">
        <f>IF($A113&lt;&gt;9999,IF($C113=2,VLOOKUP($A113,中間シート!$D$187:$T$276,16,FALSE),VLOOKUP($A113,中間シート!$D$187:$T$276,11,FALSE)),"")</f>
        <v/>
      </c>
      <c r="AG113" s="70"/>
      <c r="AH113" s="70"/>
      <c r="AI113" s="70"/>
      <c r="AJ113" s="70"/>
      <c r="AK113" s="71"/>
    </row>
    <row r="114" spans="1:37" ht="16.5" customHeight="1" x14ac:dyDescent="0.2">
      <c r="A114" s="20">
        <f>中間シート!AI254</f>
        <v>9999</v>
      </c>
      <c r="B114" s="20" t="str">
        <f>中間シート!AK254</f>
        <v>事業場99</v>
      </c>
      <c r="C114" s="20" t="e">
        <f>中間シート!AJ254</f>
        <v>#N/A</v>
      </c>
      <c r="D114" s="20" t="str">
        <f>VLOOKUP($A114,中間シート!$D$187:$K$276,4)</f>
        <v/>
      </c>
      <c r="E114" s="20" t="str">
        <f>VLOOKUP($A114,中間シート!$D$187:$K$276,5)</f>
        <v/>
      </c>
      <c r="F114" s="20" t="str">
        <f>VLOOKUP($A114,中間シート!$D$187:$K$276,6)</f>
        <v/>
      </c>
      <c r="G114" s="20" t="str">
        <f>VLOOKUP($A114,中間シート!$D$187:$K$276,7)</f>
        <v/>
      </c>
      <c r="H114" s="20" t="str">
        <f>VLOOKUP($A114,中間シート!$D$187:$K$276,8)</f>
        <v/>
      </c>
      <c r="J114" s="248" t="str">
        <f t="shared" ref="J114:J136" si="1">IF(B114="事業場99","",B114)</f>
        <v/>
      </c>
      <c r="K114" s="248"/>
      <c r="L114" s="248"/>
      <c r="M114" s="248"/>
      <c r="N114" s="260" t="str">
        <f>IF($A114&lt;&gt;9999,IF($C114=2,VLOOKUP($A114,中間シート!$D$187:$T$276,14,FALSE),VLOOKUP($A114,中間シート!$D$187:$T$276,9,FALSE)),"")</f>
        <v/>
      </c>
      <c r="O114" s="261"/>
      <c r="P114" s="261"/>
      <c r="Q114" s="261"/>
      <c r="R114" s="261"/>
      <c r="S114" s="261"/>
      <c r="T114" s="262"/>
      <c r="U114" s="258" t="s">
        <v>516</v>
      </c>
      <c r="V114" s="259"/>
      <c r="W114" s="260" t="str">
        <f>IF($A114&lt;&gt;9999,IF($C114=2,VLOOKUP($A114,中間シート!$D$187:$T$276,15,FALSE),VLOOKUP($A114,中間シート!$D$187:$T$276,10,FALSE)),"")</f>
        <v/>
      </c>
      <c r="X114" s="261"/>
      <c r="Y114" s="261"/>
      <c r="Z114" s="261"/>
      <c r="AA114" s="261"/>
      <c r="AB114" s="261"/>
      <c r="AC114" s="262"/>
      <c r="AD114" s="258" t="s">
        <v>516</v>
      </c>
      <c r="AE114" s="259"/>
      <c r="AF114" s="75" t="str">
        <f>IF($A114&lt;&gt;9999,IF($C114=2,VLOOKUP($A114,中間シート!$D$187:$T$276,16,FALSE),VLOOKUP($A114,中間シート!$D$187:$T$276,11,FALSE)),"")</f>
        <v/>
      </c>
      <c r="AG114" s="70"/>
      <c r="AH114" s="70"/>
      <c r="AI114" s="70"/>
      <c r="AJ114" s="70"/>
      <c r="AK114" s="71"/>
    </row>
    <row r="115" spans="1:37" ht="16.5" customHeight="1" x14ac:dyDescent="0.2">
      <c r="A115" s="20">
        <f>中間シート!AI255</f>
        <v>9999</v>
      </c>
      <c r="B115" s="20" t="str">
        <f>中間シート!AK255</f>
        <v>事業場99</v>
      </c>
      <c r="C115" s="20" t="e">
        <f>中間シート!AJ255</f>
        <v>#N/A</v>
      </c>
      <c r="D115" s="20" t="str">
        <f>VLOOKUP($A115,中間シート!$D$187:$K$276,4)</f>
        <v/>
      </c>
      <c r="E115" s="20" t="str">
        <f>VLOOKUP($A115,中間シート!$D$187:$K$276,5)</f>
        <v/>
      </c>
      <c r="F115" s="20" t="str">
        <f>VLOOKUP($A115,中間シート!$D$187:$K$276,6)</f>
        <v/>
      </c>
      <c r="G115" s="20" t="str">
        <f>VLOOKUP($A115,中間シート!$D$187:$K$276,7)</f>
        <v/>
      </c>
      <c r="H115" s="20" t="str">
        <f>VLOOKUP($A115,中間シート!$D$187:$K$276,8)</f>
        <v/>
      </c>
      <c r="J115" s="248" t="str">
        <f t="shared" si="1"/>
        <v/>
      </c>
      <c r="K115" s="248"/>
      <c r="L115" s="248"/>
      <c r="M115" s="248"/>
      <c r="N115" s="260" t="str">
        <f>IF($A115&lt;&gt;9999,IF($C115=2,VLOOKUP($A115,中間シート!$D$187:$T$276,14,FALSE),VLOOKUP($A115,中間シート!$D$187:$T$276,9,FALSE)),"")</f>
        <v/>
      </c>
      <c r="O115" s="261"/>
      <c r="P115" s="261"/>
      <c r="Q115" s="261"/>
      <c r="R115" s="261"/>
      <c r="S115" s="261"/>
      <c r="T115" s="262"/>
      <c r="U115" s="258" t="s">
        <v>516</v>
      </c>
      <c r="V115" s="259"/>
      <c r="W115" s="260" t="str">
        <f>IF($A115&lt;&gt;9999,IF($C115=2,VLOOKUP($A115,中間シート!$D$187:$T$276,15,FALSE),VLOOKUP($A115,中間シート!$D$187:$T$276,10,FALSE)),"")</f>
        <v/>
      </c>
      <c r="X115" s="261"/>
      <c r="Y115" s="261"/>
      <c r="Z115" s="261"/>
      <c r="AA115" s="261"/>
      <c r="AB115" s="261"/>
      <c r="AC115" s="262"/>
      <c r="AD115" s="258" t="s">
        <v>516</v>
      </c>
      <c r="AE115" s="259"/>
      <c r="AF115" s="75" t="str">
        <f>IF($A115&lt;&gt;9999,IF($C115=2,VLOOKUP($A115,中間シート!$D$187:$T$276,16,FALSE),VLOOKUP($A115,中間シート!$D$187:$T$276,11,FALSE)),"")</f>
        <v/>
      </c>
      <c r="AG115" s="70"/>
      <c r="AH115" s="70"/>
      <c r="AI115" s="70"/>
      <c r="AJ115" s="70"/>
      <c r="AK115" s="71"/>
    </row>
    <row r="116" spans="1:37" ht="16.5" customHeight="1" x14ac:dyDescent="0.2">
      <c r="A116" s="20">
        <f>中間シート!AI256</f>
        <v>9999</v>
      </c>
      <c r="B116" s="20" t="str">
        <f>中間シート!AK256</f>
        <v>事業場99</v>
      </c>
      <c r="C116" s="20" t="e">
        <f>中間シート!AJ256</f>
        <v>#N/A</v>
      </c>
      <c r="D116" s="20" t="str">
        <f>VLOOKUP($A116,中間シート!$D$187:$K$276,4)</f>
        <v/>
      </c>
      <c r="E116" s="20" t="str">
        <f>VLOOKUP($A116,中間シート!$D$187:$K$276,5)</f>
        <v/>
      </c>
      <c r="F116" s="20" t="str">
        <f>VLOOKUP($A116,中間シート!$D$187:$K$276,6)</f>
        <v/>
      </c>
      <c r="G116" s="20" t="str">
        <f>VLOOKUP($A116,中間シート!$D$187:$K$276,7)</f>
        <v/>
      </c>
      <c r="H116" s="20" t="str">
        <f>VLOOKUP($A116,中間シート!$D$187:$K$276,8)</f>
        <v/>
      </c>
      <c r="J116" s="248" t="str">
        <f t="shared" si="1"/>
        <v/>
      </c>
      <c r="K116" s="248"/>
      <c r="L116" s="248"/>
      <c r="M116" s="248"/>
      <c r="N116" s="260" t="str">
        <f>IF($A116&lt;&gt;9999,IF($C116=2,VLOOKUP($A116,中間シート!$D$187:$T$276,14,FALSE),VLOOKUP($A116,中間シート!$D$187:$T$276,9,FALSE)),"")</f>
        <v/>
      </c>
      <c r="O116" s="261"/>
      <c r="P116" s="261"/>
      <c r="Q116" s="261"/>
      <c r="R116" s="261"/>
      <c r="S116" s="261"/>
      <c r="T116" s="262"/>
      <c r="U116" s="258" t="s">
        <v>516</v>
      </c>
      <c r="V116" s="259"/>
      <c r="W116" s="260" t="str">
        <f>IF($A116&lt;&gt;9999,IF($C116=2,VLOOKUP($A116,中間シート!$D$187:$T$276,15,FALSE),VLOOKUP($A116,中間シート!$D$187:$T$276,10,FALSE)),"")</f>
        <v/>
      </c>
      <c r="X116" s="261"/>
      <c r="Y116" s="261"/>
      <c r="Z116" s="261"/>
      <c r="AA116" s="261"/>
      <c r="AB116" s="261"/>
      <c r="AC116" s="262"/>
      <c r="AD116" s="258" t="s">
        <v>516</v>
      </c>
      <c r="AE116" s="259"/>
      <c r="AF116" s="75" t="str">
        <f>IF($A116&lt;&gt;9999,IF($C116=2,VLOOKUP($A116,中間シート!$D$187:$T$276,16,FALSE),VLOOKUP($A116,中間シート!$D$187:$T$276,11,FALSE)),"")</f>
        <v/>
      </c>
      <c r="AG116" s="70"/>
      <c r="AH116" s="70"/>
      <c r="AI116" s="70"/>
      <c r="AJ116" s="70"/>
      <c r="AK116" s="71"/>
    </row>
    <row r="117" spans="1:37" ht="16.5" customHeight="1" x14ac:dyDescent="0.2">
      <c r="A117" s="20">
        <f>中間シート!AI257</f>
        <v>9999</v>
      </c>
      <c r="B117" s="20" t="str">
        <f>中間シート!AK257</f>
        <v>事業場99</v>
      </c>
      <c r="C117" s="20" t="e">
        <f>中間シート!AJ257</f>
        <v>#N/A</v>
      </c>
      <c r="D117" s="20" t="str">
        <f>VLOOKUP($A117,中間シート!$D$187:$K$276,4)</f>
        <v/>
      </c>
      <c r="E117" s="20" t="str">
        <f>VLOOKUP($A117,中間シート!$D$187:$K$276,5)</f>
        <v/>
      </c>
      <c r="F117" s="20" t="str">
        <f>VLOOKUP($A117,中間シート!$D$187:$K$276,6)</f>
        <v/>
      </c>
      <c r="G117" s="20" t="str">
        <f>VLOOKUP($A117,中間シート!$D$187:$K$276,7)</f>
        <v/>
      </c>
      <c r="H117" s="20" t="str">
        <f>VLOOKUP($A117,中間シート!$D$187:$K$276,8)</f>
        <v/>
      </c>
      <c r="J117" s="248" t="str">
        <f t="shared" si="1"/>
        <v/>
      </c>
      <c r="K117" s="248"/>
      <c r="L117" s="248"/>
      <c r="M117" s="248"/>
      <c r="N117" s="260" t="str">
        <f>IF($A117&lt;&gt;9999,IF($C117=2,VLOOKUP($A117,中間シート!$D$187:$T$276,14,FALSE),VLOOKUP($A117,中間シート!$D$187:$T$276,9,FALSE)),"")</f>
        <v/>
      </c>
      <c r="O117" s="261"/>
      <c r="P117" s="261"/>
      <c r="Q117" s="261"/>
      <c r="R117" s="261"/>
      <c r="S117" s="261"/>
      <c r="T117" s="262"/>
      <c r="U117" s="258" t="s">
        <v>516</v>
      </c>
      <c r="V117" s="259"/>
      <c r="W117" s="260" t="str">
        <f>IF($A117&lt;&gt;9999,IF($C117=2,VLOOKUP($A117,中間シート!$D$187:$T$276,15,FALSE),VLOOKUP($A117,中間シート!$D$187:$T$276,10,FALSE)),"")</f>
        <v/>
      </c>
      <c r="X117" s="261"/>
      <c r="Y117" s="261"/>
      <c r="Z117" s="261"/>
      <c r="AA117" s="261"/>
      <c r="AB117" s="261"/>
      <c r="AC117" s="262"/>
      <c r="AD117" s="258" t="s">
        <v>516</v>
      </c>
      <c r="AE117" s="259"/>
      <c r="AF117" s="75" t="str">
        <f>IF($A117&lt;&gt;9999,IF($C117=2,VLOOKUP($A117,中間シート!$D$187:$T$276,16,FALSE),VLOOKUP($A117,中間シート!$D$187:$T$276,11,FALSE)),"")</f>
        <v/>
      </c>
      <c r="AG117" s="70"/>
      <c r="AH117" s="70"/>
      <c r="AI117" s="70"/>
      <c r="AJ117" s="70"/>
      <c r="AK117" s="71"/>
    </row>
    <row r="118" spans="1:37" ht="16.5" customHeight="1" x14ac:dyDescent="0.2">
      <c r="A118" s="20">
        <f>中間シート!AI258</f>
        <v>9999</v>
      </c>
      <c r="B118" s="20" t="str">
        <f>中間シート!AK258</f>
        <v>事業場99</v>
      </c>
      <c r="C118" s="20" t="e">
        <f>中間シート!AJ258</f>
        <v>#N/A</v>
      </c>
      <c r="D118" s="20" t="str">
        <f>VLOOKUP($A118,中間シート!$D$187:$K$276,4)</f>
        <v/>
      </c>
      <c r="E118" s="20" t="str">
        <f>VLOOKUP($A118,中間シート!$D$187:$K$276,5)</f>
        <v/>
      </c>
      <c r="F118" s="20" t="str">
        <f>VLOOKUP($A118,中間シート!$D$187:$K$276,6)</f>
        <v/>
      </c>
      <c r="G118" s="20" t="str">
        <f>VLOOKUP($A118,中間シート!$D$187:$K$276,7)</f>
        <v/>
      </c>
      <c r="H118" s="20" t="str">
        <f>VLOOKUP($A118,中間シート!$D$187:$K$276,8)</f>
        <v/>
      </c>
      <c r="J118" s="248" t="str">
        <f t="shared" si="1"/>
        <v/>
      </c>
      <c r="K118" s="248"/>
      <c r="L118" s="248"/>
      <c r="M118" s="248"/>
      <c r="N118" s="260" t="str">
        <f>IF($A118&lt;&gt;9999,IF($C118=2,VLOOKUP($A118,中間シート!$D$187:$T$276,14,FALSE),VLOOKUP($A118,中間シート!$D$187:$T$276,9,FALSE)),"")</f>
        <v/>
      </c>
      <c r="O118" s="261"/>
      <c r="P118" s="261"/>
      <c r="Q118" s="261"/>
      <c r="R118" s="261"/>
      <c r="S118" s="261"/>
      <c r="T118" s="262"/>
      <c r="U118" s="258" t="s">
        <v>516</v>
      </c>
      <c r="V118" s="259"/>
      <c r="W118" s="260" t="str">
        <f>IF($A118&lt;&gt;9999,IF($C118=2,VLOOKUP($A118,中間シート!$D$187:$T$276,15,FALSE),VLOOKUP($A118,中間シート!$D$187:$T$276,10,FALSE)),"")</f>
        <v/>
      </c>
      <c r="X118" s="261"/>
      <c r="Y118" s="261"/>
      <c r="Z118" s="261"/>
      <c r="AA118" s="261"/>
      <c r="AB118" s="261"/>
      <c r="AC118" s="262"/>
      <c r="AD118" s="258" t="s">
        <v>516</v>
      </c>
      <c r="AE118" s="259"/>
      <c r="AF118" s="75" t="str">
        <f>IF($A118&lt;&gt;9999,IF($C118=2,VLOOKUP($A118,中間シート!$D$187:$T$276,16,FALSE),VLOOKUP($A118,中間シート!$D$187:$T$276,11,FALSE)),"")</f>
        <v/>
      </c>
      <c r="AG118" s="70"/>
      <c r="AH118" s="70"/>
      <c r="AI118" s="70"/>
      <c r="AJ118" s="70"/>
      <c r="AK118" s="71"/>
    </row>
    <row r="119" spans="1:37" ht="16.5" customHeight="1" x14ac:dyDescent="0.2">
      <c r="A119" s="20">
        <f>中間シート!AI259</f>
        <v>9999</v>
      </c>
      <c r="B119" s="20" t="str">
        <f>中間シート!AK259</f>
        <v>事業場99</v>
      </c>
      <c r="C119" s="20" t="e">
        <f>中間シート!AJ259</f>
        <v>#N/A</v>
      </c>
      <c r="D119" s="20" t="str">
        <f>VLOOKUP($A119,中間シート!$D$187:$K$276,4)</f>
        <v/>
      </c>
      <c r="E119" s="20" t="str">
        <f>VLOOKUP($A119,中間シート!$D$187:$K$276,5)</f>
        <v/>
      </c>
      <c r="F119" s="20" t="str">
        <f>VLOOKUP($A119,中間シート!$D$187:$K$276,6)</f>
        <v/>
      </c>
      <c r="G119" s="20" t="str">
        <f>VLOOKUP($A119,中間シート!$D$187:$K$276,7)</f>
        <v/>
      </c>
      <c r="H119" s="20" t="str">
        <f>VLOOKUP($A119,中間シート!$D$187:$K$276,8)</f>
        <v/>
      </c>
      <c r="J119" s="248" t="str">
        <f t="shared" si="1"/>
        <v/>
      </c>
      <c r="K119" s="248"/>
      <c r="L119" s="248"/>
      <c r="M119" s="248"/>
      <c r="N119" s="260" t="str">
        <f>IF($A119&lt;&gt;9999,IF($C119=2,VLOOKUP($A119,中間シート!$D$187:$T$276,14,FALSE),VLOOKUP($A119,中間シート!$D$187:$T$276,9,FALSE)),"")</f>
        <v/>
      </c>
      <c r="O119" s="261"/>
      <c r="P119" s="261"/>
      <c r="Q119" s="261"/>
      <c r="R119" s="261"/>
      <c r="S119" s="261"/>
      <c r="T119" s="262"/>
      <c r="U119" s="258" t="s">
        <v>516</v>
      </c>
      <c r="V119" s="259"/>
      <c r="W119" s="260" t="str">
        <f>IF($A119&lt;&gt;9999,IF($C119=2,VLOOKUP($A119,中間シート!$D$187:$T$276,15,FALSE),VLOOKUP($A119,中間シート!$D$187:$T$276,10,FALSE)),"")</f>
        <v/>
      </c>
      <c r="X119" s="261"/>
      <c r="Y119" s="261"/>
      <c r="Z119" s="261"/>
      <c r="AA119" s="261"/>
      <c r="AB119" s="261"/>
      <c r="AC119" s="262"/>
      <c r="AD119" s="258" t="s">
        <v>516</v>
      </c>
      <c r="AE119" s="259"/>
      <c r="AF119" s="75" t="str">
        <f>IF($A119&lt;&gt;9999,IF($C119=2,VLOOKUP($A119,中間シート!$D$187:$T$276,16,FALSE),VLOOKUP($A119,中間シート!$D$187:$T$276,11,FALSE)),"")</f>
        <v/>
      </c>
      <c r="AG119" s="70"/>
      <c r="AH119" s="70"/>
      <c r="AI119" s="70"/>
      <c r="AJ119" s="70"/>
      <c r="AK119" s="71"/>
    </row>
    <row r="120" spans="1:37" ht="16.5" customHeight="1" x14ac:dyDescent="0.2">
      <c r="A120" s="20">
        <f>中間シート!AI260</f>
        <v>9999</v>
      </c>
      <c r="B120" s="20" t="str">
        <f>中間シート!AK260</f>
        <v>事業場99</v>
      </c>
      <c r="C120" s="20" t="e">
        <f>中間シート!AJ260</f>
        <v>#N/A</v>
      </c>
      <c r="D120" s="20" t="str">
        <f>VLOOKUP($A120,中間シート!$D$187:$K$276,4)</f>
        <v/>
      </c>
      <c r="E120" s="20" t="str">
        <f>VLOOKUP($A120,中間シート!$D$187:$K$276,5)</f>
        <v/>
      </c>
      <c r="F120" s="20" t="str">
        <f>VLOOKUP($A120,中間シート!$D$187:$K$276,6)</f>
        <v/>
      </c>
      <c r="G120" s="20" t="str">
        <f>VLOOKUP($A120,中間シート!$D$187:$K$276,7)</f>
        <v/>
      </c>
      <c r="H120" s="20" t="str">
        <f>VLOOKUP($A120,中間シート!$D$187:$K$276,8)</f>
        <v/>
      </c>
      <c r="J120" s="248" t="str">
        <f t="shared" si="1"/>
        <v/>
      </c>
      <c r="K120" s="248"/>
      <c r="L120" s="248"/>
      <c r="M120" s="248"/>
      <c r="N120" s="260" t="str">
        <f>IF($A120&lt;&gt;9999,IF($C120=2,VLOOKUP($A120,中間シート!$D$187:$T$276,14,FALSE),VLOOKUP($A120,中間シート!$D$187:$T$276,9,FALSE)),"")</f>
        <v/>
      </c>
      <c r="O120" s="261"/>
      <c r="P120" s="261"/>
      <c r="Q120" s="261"/>
      <c r="R120" s="261"/>
      <c r="S120" s="261"/>
      <c r="T120" s="262"/>
      <c r="U120" s="258" t="s">
        <v>516</v>
      </c>
      <c r="V120" s="259"/>
      <c r="W120" s="260" t="str">
        <f>IF($A120&lt;&gt;9999,IF($C120=2,VLOOKUP($A120,中間シート!$D$187:$T$276,15,FALSE),VLOOKUP($A120,中間シート!$D$187:$T$276,10,FALSE)),"")</f>
        <v/>
      </c>
      <c r="X120" s="261"/>
      <c r="Y120" s="261"/>
      <c r="Z120" s="261"/>
      <c r="AA120" s="261"/>
      <c r="AB120" s="261"/>
      <c r="AC120" s="262"/>
      <c r="AD120" s="258" t="s">
        <v>516</v>
      </c>
      <c r="AE120" s="259"/>
      <c r="AF120" s="75" t="str">
        <f>IF($A120&lt;&gt;9999,IF($C120=2,VLOOKUP($A120,中間シート!$D$187:$T$276,16,FALSE),VLOOKUP($A120,中間シート!$D$187:$T$276,11,FALSE)),"")</f>
        <v/>
      </c>
      <c r="AG120" s="70"/>
      <c r="AH120" s="70"/>
      <c r="AI120" s="70"/>
      <c r="AJ120" s="70"/>
      <c r="AK120" s="71"/>
    </row>
    <row r="121" spans="1:37" ht="16.5" customHeight="1" x14ac:dyDescent="0.2">
      <c r="A121" s="20">
        <f>中間シート!AI261</f>
        <v>9999</v>
      </c>
      <c r="B121" s="20" t="str">
        <f>中間シート!AK261</f>
        <v>事業場99</v>
      </c>
      <c r="C121" s="20" t="e">
        <f>中間シート!AJ261</f>
        <v>#N/A</v>
      </c>
      <c r="D121" s="20" t="str">
        <f>VLOOKUP($A121,中間シート!$D$187:$K$276,4)</f>
        <v/>
      </c>
      <c r="E121" s="20" t="str">
        <f>VLOOKUP($A121,中間シート!$D$187:$K$276,5)</f>
        <v/>
      </c>
      <c r="F121" s="20" t="str">
        <f>VLOOKUP($A121,中間シート!$D$187:$K$276,6)</f>
        <v/>
      </c>
      <c r="G121" s="20" t="str">
        <f>VLOOKUP($A121,中間シート!$D$187:$K$276,7)</f>
        <v/>
      </c>
      <c r="H121" s="20" t="str">
        <f>VLOOKUP($A121,中間シート!$D$187:$K$276,8)</f>
        <v/>
      </c>
      <c r="J121" s="248" t="str">
        <f t="shared" si="1"/>
        <v/>
      </c>
      <c r="K121" s="248"/>
      <c r="L121" s="248"/>
      <c r="M121" s="248"/>
      <c r="N121" s="260" t="str">
        <f>IF($A121&lt;&gt;9999,IF($C121=2,VLOOKUP($A121,中間シート!$D$187:$T$276,14,FALSE),VLOOKUP($A121,中間シート!$D$187:$T$276,9,FALSE)),"")</f>
        <v/>
      </c>
      <c r="O121" s="261"/>
      <c r="P121" s="261"/>
      <c r="Q121" s="261"/>
      <c r="R121" s="261"/>
      <c r="S121" s="261"/>
      <c r="T121" s="262"/>
      <c r="U121" s="258" t="s">
        <v>516</v>
      </c>
      <c r="V121" s="259"/>
      <c r="W121" s="260" t="str">
        <f>IF($A121&lt;&gt;9999,IF($C121=2,VLOOKUP($A121,中間シート!$D$187:$T$276,15,FALSE),VLOOKUP($A121,中間シート!$D$187:$T$276,10,FALSE)),"")</f>
        <v/>
      </c>
      <c r="X121" s="261"/>
      <c r="Y121" s="261"/>
      <c r="Z121" s="261"/>
      <c r="AA121" s="261"/>
      <c r="AB121" s="261"/>
      <c r="AC121" s="262"/>
      <c r="AD121" s="258" t="s">
        <v>516</v>
      </c>
      <c r="AE121" s="259"/>
      <c r="AF121" s="75" t="str">
        <f>IF($A121&lt;&gt;9999,IF($C121=2,VLOOKUP($A121,中間シート!$D$187:$T$276,16,FALSE),VLOOKUP($A121,中間シート!$D$187:$T$276,11,FALSE)),"")</f>
        <v/>
      </c>
      <c r="AG121" s="70"/>
      <c r="AH121" s="70"/>
      <c r="AI121" s="70"/>
      <c r="AJ121" s="70"/>
      <c r="AK121" s="71"/>
    </row>
    <row r="122" spans="1:37" ht="16.5" customHeight="1" x14ac:dyDescent="0.2">
      <c r="A122" s="20">
        <f>中間シート!AI262</f>
        <v>9999</v>
      </c>
      <c r="B122" s="20" t="str">
        <f>中間シート!AK262</f>
        <v>事業場99</v>
      </c>
      <c r="C122" s="20" t="e">
        <f>中間シート!AJ262</f>
        <v>#N/A</v>
      </c>
      <c r="D122" s="20" t="str">
        <f>VLOOKUP($A122,中間シート!$D$187:$K$276,4)</f>
        <v/>
      </c>
      <c r="E122" s="20" t="str">
        <f>VLOOKUP($A122,中間シート!$D$187:$K$276,5)</f>
        <v/>
      </c>
      <c r="F122" s="20" t="str">
        <f>VLOOKUP($A122,中間シート!$D$187:$K$276,6)</f>
        <v/>
      </c>
      <c r="G122" s="20" t="str">
        <f>VLOOKUP($A122,中間シート!$D$187:$K$276,7)</f>
        <v/>
      </c>
      <c r="H122" s="20" t="str">
        <f>VLOOKUP($A122,中間シート!$D$187:$K$276,8)</f>
        <v/>
      </c>
      <c r="J122" s="248" t="str">
        <f t="shared" si="1"/>
        <v/>
      </c>
      <c r="K122" s="248"/>
      <c r="L122" s="248"/>
      <c r="M122" s="248"/>
      <c r="N122" s="260" t="str">
        <f>IF($A122&lt;&gt;9999,IF($C122=2,VLOOKUP($A122,中間シート!$D$187:$T$276,14,FALSE),VLOOKUP($A122,中間シート!$D$187:$T$276,9,FALSE)),"")</f>
        <v/>
      </c>
      <c r="O122" s="261"/>
      <c r="P122" s="261"/>
      <c r="Q122" s="261"/>
      <c r="R122" s="261"/>
      <c r="S122" s="261"/>
      <c r="T122" s="262"/>
      <c r="U122" s="258" t="s">
        <v>516</v>
      </c>
      <c r="V122" s="259"/>
      <c r="W122" s="260" t="str">
        <f>IF($A122&lt;&gt;9999,IF($C122=2,VLOOKUP($A122,中間シート!$D$187:$T$276,15,FALSE),VLOOKUP($A122,中間シート!$D$187:$T$276,10,FALSE)),"")</f>
        <v/>
      </c>
      <c r="X122" s="261"/>
      <c r="Y122" s="261"/>
      <c r="Z122" s="261"/>
      <c r="AA122" s="261"/>
      <c r="AB122" s="261"/>
      <c r="AC122" s="262"/>
      <c r="AD122" s="258" t="s">
        <v>516</v>
      </c>
      <c r="AE122" s="259"/>
      <c r="AF122" s="75" t="str">
        <f>IF($A122&lt;&gt;9999,IF($C122=2,VLOOKUP($A122,中間シート!$D$187:$T$276,16,FALSE),VLOOKUP($A122,中間シート!$D$187:$T$276,11,FALSE)),"")</f>
        <v/>
      </c>
      <c r="AG122" s="70"/>
      <c r="AH122" s="70"/>
      <c r="AI122" s="70"/>
      <c r="AJ122" s="70"/>
      <c r="AK122" s="71"/>
    </row>
    <row r="123" spans="1:37" ht="16.5" customHeight="1" x14ac:dyDescent="0.2">
      <c r="A123" s="20">
        <f>中間シート!AI263</f>
        <v>9999</v>
      </c>
      <c r="B123" s="20" t="str">
        <f>中間シート!AK263</f>
        <v>事業場99</v>
      </c>
      <c r="C123" s="20" t="e">
        <f>中間シート!AJ263</f>
        <v>#N/A</v>
      </c>
      <c r="D123" s="20" t="str">
        <f>VLOOKUP($A123,中間シート!$D$187:$K$276,4)</f>
        <v/>
      </c>
      <c r="E123" s="20" t="str">
        <f>VLOOKUP($A123,中間シート!$D$187:$K$276,5)</f>
        <v/>
      </c>
      <c r="F123" s="20" t="str">
        <f>VLOOKUP($A123,中間シート!$D$187:$K$276,6)</f>
        <v/>
      </c>
      <c r="G123" s="20" t="str">
        <f>VLOOKUP($A123,中間シート!$D$187:$K$276,7)</f>
        <v/>
      </c>
      <c r="H123" s="20" t="str">
        <f>VLOOKUP($A123,中間シート!$D$187:$K$276,8)</f>
        <v/>
      </c>
      <c r="J123" s="248" t="str">
        <f t="shared" si="1"/>
        <v/>
      </c>
      <c r="K123" s="248"/>
      <c r="L123" s="248"/>
      <c r="M123" s="248"/>
      <c r="N123" s="260" t="str">
        <f>IF($A123&lt;&gt;9999,IF($C123=2,VLOOKUP($A123,中間シート!$D$187:$T$276,14,FALSE),VLOOKUP($A123,中間シート!$D$187:$T$276,9,FALSE)),"")</f>
        <v/>
      </c>
      <c r="O123" s="261"/>
      <c r="P123" s="261"/>
      <c r="Q123" s="261"/>
      <c r="R123" s="261"/>
      <c r="S123" s="261"/>
      <c r="T123" s="262"/>
      <c r="U123" s="258" t="s">
        <v>516</v>
      </c>
      <c r="V123" s="259"/>
      <c r="W123" s="260" t="str">
        <f>IF($A123&lt;&gt;9999,IF($C123=2,VLOOKUP($A123,中間シート!$D$187:$T$276,15,FALSE),VLOOKUP($A123,中間シート!$D$187:$T$276,10,FALSE)),"")</f>
        <v/>
      </c>
      <c r="X123" s="261"/>
      <c r="Y123" s="261"/>
      <c r="Z123" s="261"/>
      <c r="AA123" s="261"/>
      <c r="AB123" s="261"/>
      <c r="AC123" s="262"/>
      <c r="AD123" s="258" t="s">
        <v>516</v>
      </c>
      <c r="AE123" s="259"/>
      <c r="AF123" s="75" t="str">
        <f>IF($A123&lt;&gt;9999,IF($C123=2,VLOOKUP($A123,中間シート!$D$187:$T$276,16,FALSE),VLOOKUP($A123,中間シート!$D$187:$T$276,11,FALSE)),"")</f>
        <v/>
      </c>
      <c r="AG123" s="70"/>
      <c r="AH123" s="70"/>
      <c r="AI123" s="70"/>
      <c r="AJ123" s="70"/>
      <c r="AK123" s="71"/>
    </row>
    <row r="124" spans="1:37" ht="16.5" customHeight="1" x14ac:dyDescent="0.2">
      <c r="A124" s="20">
        <f>中間シート!AI264</f>
        <v>9999</v>
      </c>
      <c r="B124" s="20" t="str">
        <f>中間シート!AK264</f>
        <v>事業場99</v>
      </c>
      <c r="C124" s="20" t="e">
        <f>中間シート!AJ264</f>
        <v>#N/A</v>
      </c>
      <c r="D124" s="20" t="str">
        <f>VLOOKUP($A124,中間シート!$D$187:$K$276,4)</f>
        <v/>
      </c>
      <c r="E124" s="20" t="str">
        <f>VLOOKUP($A124,中間シート!$D$187:$K$276,5)</f>
        <v/>
      </c>
      <c r="F124" s="20" t="str">
        <f>VLOOKUP($A124,中間シート!$D$187:$K$276,6)</f>
        <v/>
      </c>
      <c r="G124" s="20" t="str">
        <f>VLOOKUP($A124,中間シート!$D$187:$K$276,7)</f>
        <v/>
      </c>
      <c r="H124" s="20" t="str">
        <f>VLOOKUP($A124,中間シート!$D$187:$K$276,8)</f>
        <v/>
      </c>
      <c r="J124" s="248" t="str">
        <f t="shared" si="1"/>
        <v/>
      </c>
      <c r="K124" s="248"/>
      <c r="L124" s="248"/>
      <c r="M124" s="248"/>
      <c r="N124" s="260" t="str">
        <f>IF($A124&lt;&gt;9999,IF($C124=2,VLOOKUP($A124,中間シート!$D$187:$T$276,14,FALSE),VLOOKUP($A124,中間シート!$D$187:$T$276,9,FALSE)),"")</f>
        <v/>
      </c>
      <c r="O124" s="261"/>
      <c r="P124" s="261"/>
      <c r="Q124" s="261"/>
      <c r="R124" s="261"/>
      <c r="S124" s="261"/>
      <c r="T124" s="262"/>
      <c r="U124" s="258" t="s">
        <v>516</v>
      </c>
      <c r="V124" s="259"/>
      <c r="W124" s="260" t="str">
        <f>IF($A124&lt;&gt;9999,IF($C124=2,VLOOKUP($A124,中間シート!$D$187:$T$276,15,FALSE),VLOOKUP($A124,中間シート!$D$187:$T$276,10,FALSE)),"")</f>
        <v/>
      </c>
      <c r="X124" s="261"/>
      <c r="Y124" s="261"/>
      <c r="Z124" s="261"/>
      <c r="AA124" s="261"/>
      <c r="AB124" s="261"/>
      <c r="AC124" s="262"/>
      <c r="AD124" s="258" t="s">
        <v>516</v>
      </c>
      <c r="AE124" s="259"/>
      <c r="AF124" s="75" t="str">
        <f>IF($A124&lt;&gt;9999,IF($C124=2,VLOOKUP($A124,中間シート!$D$187:$T$276,16,FALSE),VLOOKUP($A124,中間シート!$D$187:$T$276,11,FALSE)),"")</f>
        <v/>
      </c>
      <c r="AG124" s="70"/>
      <c r="AH124" s="70"/>
      <c r="AI124" s="70"/>
      <c r="AJ124" s="70"/>
      <c r="AK124" s="71"/>
    </row>
    <row r="125" spans="1:37" ht="16.5" customHeight="1" x14ac:dyDescent="0.2">
      <c r="A125" s="20">
        <f>中間シート!AI265</f>
        <v>9999</v>
      </c>
      <c r="B125" s="20" t="str">
        <f>中間シート!AK265</f>
        <v>事業場99</v>
      </c>
      <c r="C125" s="20" t="e">
        <f>中間シート!AJ265</f>
        <v>#N/A</v>
      </c>
      <c r="D125" s="20" t="str">
        <f>VLOOKUP($A125,中間シート!$D$187:$K$276,4)</f>
        <v/>
      </c>
      <c r="E125" s="20" t="str">
        <f>VLOOKUP($A125,中間シート!$D$187:$K$276,5)</f>
        <v/>
      </c>
      <c r="F125" s="20" t="str">
        <f>VLOOKUP($A125,中間シート!$D$187:$K$276,6)</f>
        <v/>
      </c>
      <c r="G125" s="20" t="str">
        <f>VLOOKUP($A125,中間シート!$D$187:$K$276,7)</f>
        <v/>
      </c>
      <c r="H125" s="20" t="str">
        <f>VLOOKUP($A125,中間シート!$D$187:$K$276,8)</f>
        <v/>
      </c>
      <c r="J125" s="248" t="str">
        <f t="shared" si="1"/>
        <v/>
      </c>
      <c r="K125" s="248"/>
      <c r="L125" s="248"/>
      <c r="M125" s="248"/>
      <c r="N125" s="260" t="str">
        <f>IF($A125&lt;&gt;9999,IF($C125=2,VLOOKUP($A125,中間シート!$D$187:$T$276,14,FALSE),VLOOKUP($A125,中間シート!$D$187:$T$276,9,FALSE)),"")</f>
        <v/>
      </c>
      <c r="O125" s="261"/>
      <c r="P125" s="261"/>
      <c r="Q125" s="261"/>
      <c r="R125" s="261"/>
      <c r="S125" s="261"/>
      <c r="T125" s="262"/>
      <c r="U125" s="258" t="s">
        <v>516</v>
      </c>
      <c r="V125" s="259"/>
      <c r="W125" s="260" t="str">
        <f>IF($A125&lt;&gt;9999,IF($C125=2,VLOOKUP($A125,中間シート!$D$187:$T$276,15,FALSE),VLOOKUP($A125,中間シート!$D$187:$T$276,10,FALSE)),"")</f>
        <v/>
      </c>
      <c r="X125" s="261"/>
      <c r="Y125" s="261"/>
      <c r="Z125" s="261"/>
      <c r="AA125" s="261"/>
      <c r="AB125" s="261"/>
      <c r="AC125" s="262"/>
      <c r="AD125" s="258" t="s">
        <v>516</v>
      </c>
      <c r="AE125" s="259"/>
      <c r="AF125" s="75" t="str">
        <f>IF($A125&lt;&gt;9999,IF($C125=2,VLOOKUP($A125,中間シート!$D$187:$T$276,16,FALSE),VLOOKUP($A125,中間シート!$D$187:$T$276,11,FALSE)),"")</f>
        <v/>
      </c>
      <c r="AG125" s="70"/>
      <c r="AH125" s="70"/>
      <c r="AI125" s="70"/>
      <c r="AJ125" s="70"/>
      <c r="AK125" s="71"/>
    </row>
    <row r="126" spans="1:37" ht="16.5" customHeight="1" x14ac:dyDescent="0.2">
      <c r="A126" s="20">
        <f>中間シート!AI266</f>
        <v>9999</v>
      </c>
      <c r="B126" s="20" t="str">
        <f>中間シート!AK266</f>
        <v>事業場99</v>
      </c>
      <c r="C126" s="20" t="e">
        <f>中間シート!AJ266</f>
        <v>#N/A</v>
      </c>
      <c r="D126" s="20" t="str">
        <f>VLOOKUP($A126,中間シート!$D$187:$K$276,4)</f>
        <v/>
      </c>
      <c r="E126" s="20" t="str">
        <f>VLOOKUP($A126,中間シート!$D$187:$K$276,5)</f>
        <v/>
      </c>
      <c r="F126" s="20" t="str">
        <f>VLOOKUP($A126,中間シート!$D$187:$K$276,6)</f>
        <v/>
      </c>
      <c r="G126" s="20" t="str">
        <f>VLOOKUP($A126,中間シート!$D$187:$K$276,7)</f>
        <v/>
      </c>
      <c r="H126" s="20" t="str">
        <f>VLOOKUP($A126,中間シート!$D$187:$K$276,8)</f>
        <v/>
      </c>
      <c r="J126" s="248" t="str">
        <f t="shared" si="1"/>
        <v/>
      </c>
      <c r="K126" s="248"/>
      <c r="L126" s="248"/>
      <c r="M126" s="248"/>
      <c r="N126" s="260" t="str">
        <f>IF($A126&lt;&gt;9999,IF($C126=2,VLOOKUP($A126,中間シート!$D$187:$T$276,14,FALSE),VLOOKUP($A126,中間シート!$D$187:$T$276,9,FALSE)),"")</f>
        <v/>
      </c>
      <c r="O126" s="261"/>
      <c r="P126" s="261"/>
      <c r="Q126" s="261"/>
      <c r="R126" s="261"/>
      <c r="S126" s="261"/>
      <c r="T126" s="262"/>
      <c r="U126" s="258" t="s">
        <v>516</v>
      </c>
      <c r="V126" s="259"/>
      <c r="W126" s="260" t="str">
        <f>IF($A126&lt;&gt;9999,IF($C126=2,VLOOKUP($A126,中間シート!$D$187:$T$276,15,FALSE),VLOOKUP($A126,中間シート!$D$187:$T$276,10,FALSE)),"")</f>
        <v/>
      </c>
      <c r="X126" s="261"/>
      <c r="Y126" s="261"/>
      <c r="Z126" s="261"/>
      <c r="AA126" s="261"/>
      <c r="AB126" s="261"/>
      <c r="AC126" s="262"/>
      <c r="AD126" s="258" t="s">
        <v>516</v>
      </c>
      <c r="AE126" s="259"/>
      <c r="AF126" s="75" t="str">
        <f>IF($A126&lt;&gt;9999,IF($C126=2,VLOOKUP($A126,中間シート!$D$187:$T$276,16,FALSE),VLOOKUP($A126,中間シート!$D$187:$T$276,11,FALSE)),"")</f>
        <v/>
      </c>
      <c r="AG126" s="70"/>
      <c r="AH126" s="70"/>
      <c r="AI126" s="70"/>
      <c r="AJ126" s="70"/>
      <c r="AK126" s="71"/>
    </row>
    <row r="127" spans="1:37" ht="16.5" customHeight="1" x14ac:dyDescent="0.2">
      <c r="A127" s="20">
        <f>中間シート!AI267</f>
        <v>9999</v>
      </c>
      <c r="B127" s="20" t="str">
        <f>中間シート!AK267</f>
        <v>事業場99</v>
      </c>
      <c r="C127" s="20" t="e">
        <f>中間シート!AJ267</f>
        <v>#N/A</v>
      </c>
      <c r="D127" s="20" t="str">
        <f>VLOOKUP($A127,中間シート!$D$187:$K$276,4)</f>
        <v/>
      </c>
      <c r="E127" s="20" t="str">
        <f>VLOOKUP($A127,中間シート!$D$187:$K$276,5)</f>
        <v/>
      </c>
      <c r="F127" s="20" t="str">
        <f>VLOOKUP($A127,中間シート!$D$187:$K$276,6)</f>
        <v/>
      </c>
      <c r="G127" s="20" t="str">
        <f>VLOOKUP($A127,中間シート!$D$187:$K$276,7)</f>
        <v/>
      </c>
      <c r="H127" s="20" t="str">
        <f>VLOOKUP($A127,中間シート!$D$187:$K$276,8)</f>
        <v/>
      </c>
      <c r="J127" s="248" t="str">
        <f t="shared" si="1"/>
        <v/>
      </c>
      <c r="K127" s="248"/>
      <c r="L127" s="248"/>
      <c r="M127" s="248"/>
      <c r="N127" s="260" t="str">
        <f>IF($A127&lt;&gt;9999,IF($C127=2,VLOOKUP($A127,中間シート!$D$187:$T$276,14,FALSE),VLOOKUP($A127,中間シート!$D$187:$T$276,9,FALSE)),"")</f>
        <v/>
      </c>
      <c r="O127" s="261"/>
      <c r="P127" s="261"/>
      <c r="Q127" s="261"/>
      <c r="R127" s="261"/>
      <c r="S127" s="261"/>
      <c r="T127" s="262"/>
      <c r="U127" s="258" t="s">
        <v>516</v>
      </c>
      <c r="V127" s="259"/>
      <c r="W127" s="260" t="str">
        <f>IF($A127&lt;&gt;9999,IF($C127=2,VLOOKUP($A127,中間シート!$D$187:$T$276,15,FALSE),VLOOKUP($A127,中間シート!$D$187:$T$276,10,FALSE)),"")</f>
        <v/>
      </c>
      <c r="X127" s="261"/>
      <c r="Y127" s="261"/>
      <c r="Z127" s="261"/>
      <c r="AA127" s="261"/>
      <c r="AB127" s="261"/>
      <c r="AC127" s="262"/>
      <c r="AD127" s="258" t="s">
        <v>516</v>
      </c>
      <c r="AE127" s="259"/>
      <c r="AF127" s="75" t="str">
        <f>IF($A127&lt;&gt;9999,IF($C127=2,VLOOKUP($A127,中間シート!$D$187:$T$276,16,FALSE),VLOOKUP($A127,中間シート!$D$187:$T$276,11,FALSE)),"")</f>
        <v/>
      </c>
      <c r="AG127" s="70"/>
      <c r="AH127" s="70"/>
      <c r="AI127" s="70"/>
      <c r="AJ127" s="70"/>
      <c r="AK127" s="71"/>
    </row>
    <row r="128" spans="1:37" ht="16.5" customHeight="1" x14ac:dyDescent="0.2">
      <c r="A128" s="20">
        <f>中間シート!AI268</f>
        <v>9999</v>
      </c>
      <c r="B128" s="20" t="str">
        <f>中間シート!AK268</f>
        <v>事業場99</v>
      </c>
      <c r="C128" s="20" t="e">
        <f>中間シート!AJ268</f>
        <v>#N/A</v>
      </c>
      <c r="D128" s="20" t="str">
        <f>VLOOKUP($A128,中間シート!$D$187:$K$276,4)</f>
        <v/>
      </c>
      <c r="E128" s="20" t="str">
        <f>VLOOKUP($A128,中間シート!$D$187:$K$276,5)</f>
        <v/>
      </c>
      <c r="F128" s="20" t="str">
        <f>VLOOKUP($A128,中間シート!$D$187:$K$276,6)</f>
        <v/>
      </c>
      <c r="G128" s="20" t="str">
        <f>VLOOKUP($A128,中間シート!$D$187:$K$276,7)</f>
        <v/>
      </c>
      <c r="H128" s="20" t="str">
        <f>VLOOKUP($A128,中間シート!$D$187:$K$276,8)</f>
        <v/>
      </c>
      <c r="J128" s="248" t="str">
        <f t="shared" si="1"/>
        <v/>
      </c>
      <c r="K128" s="248"/>
      <c r="L128" s="248"/>
      <c r="M128" s="248"/>
      <c r="N128" s="260" t="str">
        <f>IF($A128&lt;&gt;9999,IF($C128=2,VLOOKUP($A128,中間シート!$D$187:$T$276,14,FALSE),VLOOKUP($A128,中間シート!$D$187:$T$276,9,FALSE)),"")</f>
        <v/>
      </c>
      <c r="O128" s="261"/>
      <c r="P128" s="261"/>
      <c r="Q128" s="261"/>
      <c r="R128" s="261"/>
      <c r="S128" s="261"/>
      <c r="T128" s="262"/>
      <c r="U128" s="258" t="s">
        <v>516</v>
      </c>
      <c r="V128" s="259"/>
      <c r="W128" s="260" t="str">
        <f>IF($A128&lt;&gt;9999,IF($C128=2,VLOOKUP($A128,中間シート!$D$187:$T$276,15,FALSE),VLOOKUP($A128,中間シート!$D$187:$T$276,10,FALSE)),"")</f>
        <v/>
      </c>
      <c r="X128" s="261"/>
      <c r="Y128" s="261"/>
      <c r="Z128" s="261"/>
      <c r="AA128" s="261"/>
      <c r="AB128" s="261"/>
      <c r="AC128" s="262"/>
      <c r="AD128" s="258" t="s">
        <v>516</v>
      </c>
      <c r="AE128" s="259"/>
      <c r="AF128" s="75" t="str">
        <f>IF($A128&lt;&gt;9999,IF($C128=2,VLOOKUP($A128,中間シート!$D$187:$T$276,16,FALSE),VLOOKUP($A128,中間シート!$D$187:$T$276,11,FALSE)),"")</f>
        <v/>
      </c>
      <c r="AG128" s="70"/>
      <c r="AH128" s="70"/>
      <c r="AI128" s="70"/>
      <c r="AJ128" s="70"/>
      <c r="AK128" s="71"/>
    </row>
    <row r="129" spans="1:48" ht="16.5" customHeight="1" x14ac:dyDescent="0.2">
      <c r="A129" s="20">
        <f>中間シート!AI269</f>
        <v>9999</v>
      </c>
      <c r="B129" s="20" t="str">
        <f>中間シート!AK269</f>
        <v>事業場99</v>
      </c>
      <c r="C129" s="20" t="e">
        <f>中間シート!AJ269</f>
        <v>#N/A</v>
      </c>
      <c r="D129" s="20" t="str">
        <f>VLOOKUP($A129,中間シート!$D$187:$K$276,4)</f>
        <v/>
      </c>
      <c r="E129" s="20" t="str">
        <f>VLOOKUP($A129,中間シート!$D$187:$K$276,5)</f>
        <v/>
      </c>
      <c r="F129" s="20" t="str">
        <f>VLOOKUP($A129,中間シート!$D$187:$K$276,6)</f>
        <v/>
      </c>
      <c r="G129" s="20" t="str">
        <f>VLOOKUP($A129,中間シート!$D$187:$K$276,7)</f>
        <v/>
      </c>
      <c r="H129" s="20" t="str">
        <f>VLOOKUP($A129,中間シート!$D$187:$K$276,8)</f>
        <v/>
      </c>
      <c r="J129" s="248" t="str">
        <f t="shared" si="1"/>
        <v/>
      </c>
      <c r="K129" s="248"/>
      <c r="L129" s="248"/>
      <c r="M129" s="248"/>
      <c r="N129" s="260" t="str">
        <f>IF($A129&lt;&gt;9999,IF($C129=2,VLOOKUP($A129,中間シート!$D$187:$T$276,14,FALSE),VLOOKUP($A129,中間シート!$D$187:$T$276,9,FALSE)),"")</f>
        <v/>
      </c>
      <c r="O129" s="261"/>
      <c r="P129" s="261"/>
      <c r="Q129" s="261"/>
      <c r="R129" s="261"/>
      <c r="S129" s="261"/>
      <c r="T129" s="262"/>
      <c r="U129" s="258" t="s">
        <v>516</v>
      </c>
      <c r="V129" s="259"/>
      <c r="W129" s="260" t="str">
        <f>IF($A129&lt;&gt;9999,IF($C129=2,VLOOKUP($A129,中間シート!$D$187:$T$276,15,FALSE),VLOOKUP($A129,中間シート!$D$187:$T$276,10,FALSE)),"")</f>
        <v/>
      </c>
      <c r="X129" s="261"/>
      <c r="Y129" s="261"/>
      <c r="Z129" s="261"/>
      <c r="AA129" s="261"/>
      <c r="AB129" s="261"/>
      <c r="AC129" s="262"/>
      <c r="AD129" s="258" t="s">
        <v>516</v>
      </c>
      <c r="AE129" s="259"/>
      <c r="AF129" s="75" t="str">
        <f>IF($A129&lt;&gt;9999,IF($C129=2,VLOOKUP($A129,中間シート!$D$187:$T$276,16,FALSE),VLOOKUP($A129,中間シート!$D$187:$T$276,11,FALSE)),"")</f>
        <v/>
      </c>
      <c r="AG129" s="70"/>
      <c r="AH129" s="70"/>
      <c r="AI129" s="70"/>
      <c r="AJ129" s="70"/>
      <c r="AK129" s="71"/>
    </row>
    <row r="130" spans="1:48" ht="16.5" customHeight="1" x14ac:dyDescent="0.2">
      <c r="A130" s="20">
        <f>中間シート!AI270</f>
        <v>9999</v>
      </c>
      <c r="B130" s="20" t="str">
        <f>中間シート!AK270</f>
        <v>事業場99</v>
      </c>
      <c r="C130" s="20" t="e">
        <f>中間シート!AJ270</f>
        <v>#N/A</v>
      </c>
      <c r="D130" s="20" t="str">
        <f>VLOOKUP($A130,中間シート!$D$187:$K$276,4)</f>
        <v/>
      </c>
      <c r="E130" s="20" t="str">
        <f>VLOOKUP($A130,中間シート!$D$187:$K$276,5)</f>
        <v/>
      </c>
      <c r="F130" s="20" t="str">
        <f>VLOOKUP($A130,中間シート!$D$187:$K$276,6)</f>
        <v/>
      </c>
      <c r="G130" s="20" t="str">
        <f>VLOOKUP($A130,中間シート!$D$187:$K$276,7)</f>
        <v/>
      </c>
      <c r="H130" s="20" t="str">
        <f>VLOOKUP($A130,中間シート!$D$187:$K$276,8)</f>
        <v/>
      </c>
      <c r="J130" s="248" t="str">
        <f t="shared" si="1"/>
        <v/>
      </c>
      <c r="K130" s="248"/>
      <c r="L130" s="248"/>
      <c r="M130" s="248"/>
      <c r="N130" s="260" t="str">
        <f>IF($A130&lt;&gt;9999,IF($C130=2,VLOOKUP($A130,中間シート!$D$187:$T$276,14,FALSE),VLOOKUP($A130,中間シート!$D$187:$T$276,9,FALSE)),"")</f>
        <v/>
      </c>
      <c r="O130" s="261"/>
      <c r="P130" s="261"/>
      <c r="Q130" s="261"/>
      <c r="R130" s="261"/>
      <c r="S130" s="261"/>
      <c r="T130" s="262"/>
      <c r="U130" s="258" t="s">
        <v>516</v>
      </c>
      <c r="V130" s="259"/>
      <c r="W130" s="260" t="str">
        <f>IF($A130&lt;&gt;9999,IF($C130=2,VLOOKUP($A130,中間シート!$D$187:$T$276,15,FALSE),VLOOKUP($A130,中間シート!$D$187:$T$276,10,FALSE)),"")</f>
        <v/>
      </c>
      <c r="X130" s="261"/>
      <c r="Y130" s="261"/>
      <c r="Z130" s="261"/>
      <c r="AA130" s="261"/>
      <c r="AB130" s="261"/>
      <c r="AC130" s="262"/>
      <c r="AD130" s="258" t="s">
        <v>516</v>
      </c>
      <c r="AE130" s="259"/>
      <c r="AF130" s="75" t="str">
        <f>IF($A130&lt;&gt;9999,IF($C130=2,VLOOKUP($A130,中間シート!$D$187:$T$276,16,FALSE),VLOOKUP($A130,中間シート!$D$187:$T$276,11,FALSE)),"")</f>
        <v/>
      </c>
      <c r="AG130" s="70"/>
      <c r="AH130" s="70"/>
      <c r="AI130" s="70"/>
      <c r="AJ130" s="70"/>
      <c r="AK130" s="71"/>
    </row>
    <row r="131" spans="1:48" ht="16.5" customHeight="1" x14ac:dyDescent="0.2">
      <c r="A131" s="20">
        <f>中間シート!AI271</f>
        <v>9999</v>
      </c>
      <c r="B131" s="20" t="str">
        <f>中間シート!AK271</f>
        <v>事業場99</v>
      </c>
      <c r="C131" s="20" t="e">
        <f>中間シート!AJ271</f>
        <v>#N/A</v>
      </c>
      <c r="D131" s="20" t="str">
        <f>VLOOKUP($A131,中間シート!$D$187:$K$276,4)</f>
        <v/>
      </c>
      <c r="E131" s="20" t="str">
        <f>VLOOKUP($A131,中間シート!$D$187:$K$276,5)</f>
        <v/>
      </c>
      <c r="F131" s="20" t="str">
        <f>VLOOKUP($A131,中間シート!$D$187:$K$276,6)</f>
        <v/>
      </c>
      <c r="G131" s="20" t="str">
        <f>VLOOKUP($A131,中間シート!$D$187:$K$276,7)</f>
        <v/>
      </c>
      <c r="H131" s="20" t="str">
        <f>VLOOKUP($A131,中間シート!$D$187:$K$276,8)</f>
        <v/>
      </c>
      <c r="J131" s="248" t="str">
        <f t="shared" si="1"/>
        <v/>
      </c>
      <c r="K131" s="248"/>
      <c r="L131" s="248"/>
      <c r="M131" s="248"/>
      <c r="N131" s="260" t="str">
        <f>IF($A131&lt;&gt;9999,IF($C131=2,VLOOKUP($A131,中間シート!$D$187:$T$276,14,FALSE),VLOOKUP($A131,中間シート!$D$187:$T$276,9,FALSE)),"")</f>
        <v/>
      </c>
      <c r="O131" s="261"/>
      <c r="P131" s="261"/>
      <c r="Q131" s="261"/>
      <c r="R131" s="261"/>
      <c r="S131" s="261"/>
      <c r="T131" s="262"/>
      <c r="U131" s="258" t="s">
        <v>516</v>
      </c>
      <c r="V131" s="259"/>
      <c r="W131" s="260" t="str">
        <f>IF($A131&lt;&gt;9999,IF($C131=2,VLOOKUP($A131,中間シート!$D$187:$T$276,15,FALSE),VLOOKUP($A131,中間シート!$D$187:$T$276,10,FALSE)),"")</f>
        <v/>
      </c>
      <c r="X131" s="261"/>
      <c r="Y131" s="261"/>
      <c r="Z131" s="261"/>
      <c r="AA131" s="261"/>
      <c r="AB131" s="261"/>
      <c r="AC131" s="262"/>
      <c r="AD131" s="258" t="s">
        <v>516</v>
      </c>
      <c r="AE131" s="259"/>
      <c r="AF131" s="75" t="str">
        <f>IF($A131&lt;&gt;9999,IF($C131=2,VLOOKUP($A131,中間シート!$D$187:$T$276,16,FALSE),VLOOKUP($A131,中間シート!$D$187:$T$276,11,FALSE)),"")</f>
        <v/>
      </c>
      <c r="AG131" s="70"/>
      <c r="AH131" s="70"/>
      <c r="AI131" s="70"/>
      <c r="AJ131" s="70"/>
      <c r="AK131" s="71"/>
    </row>
    <row r="132" spans="1:48" ht="16.5" customHeight="1" x14ac:dyDescent="0.2">
      <c r="A132" s="20">
        <f>中間シート!AI272</f>
        <v>9999</v>
      </c>
      <c r="B132" s="20" t="str">
        <f>中間シート!AK272</f>
        <v>事業場99</v>
      </c>
      <c r="C132" s="20" t="e">
        <f>中間シート!AJ272</f>
        <v>#N/A</v>
      </c>
      <c r="D132" s="20" t="str">
        <f>VLOOKUP($A132,中間シート!$D$187:$K$276,4)</f>
        <v/>
      </c>
      <c r="E132" s="20" t="str">
        <f>VLOOKUP($A132,中間シート!$D$187:$K$276,5)</f>
        <v/>
      </c>
      <c r="F132" s="20" t="str">
        <f>VLOOKUP($A132,中間シート!$D$187:$K$276,6)</f>
        <v/>
      </c>
      <c r="G132" s="20" t="str">
        <f>VLOOKUP($A132,中間シート!$D$187:$K$276,7)</f>
        <v/>
      </c>
      <c r="H132" s="20" t="str">
        <f>VLOOKUP($A132,中間シート!$D$187:$K$276,8)</f>
        <v/>
      </c>
      <c r="J132" s="248" t="str">
        <f t="shared" si="1"/>
        <v/>
      </c>
      <c r="K132" s="248"/>
      <c r="L132" s="248"/>
      <c r="M132" s="248"/>
      <c r="N132" s="260" t="str">
        <f>IF($A132&lt;&gt;9999,IF($C132=2,VLOOKUP($A132,中間シート!$D$187:$T$276,14,FALSE),VLOOKUP($A132,中間シート!$D$187:$T$276,9,FALSE)),"")</f>
        <v/>
      </c>
      <c r="O132" s="261"/>
      <c r="P132" s="261"/>
      <c r="Q132" s="261"/>
      <c r="R132" s="261"/>
      <c r="S132" s="261"/>
      <c r="T132" s="262"/>
      <c r="U132" s="258" t="s">
        <v>516</v>
      </c>
      <c r="V132" s="259"/>
      <c r="W132" s="260" t="str">
        <f>IF($A132&lt;&gt;9999,IF($C132=2,VLOOKUP($A132,中間シート!$D$187:$T$276,15,FALSE),VLOOKUP($A132,中間シート!$D$187:$T$276,10,FALSE)),"")</f>
        <v/>
      </c>
      <c r="X132" s="261"/>
      <c r="Y132" s="261"/>
      <c r="Z132" s="261"/>
      <c r="AA132" s="261"/>
      <c r="AB132" s="261"/>
      <c r="AC132" s="262"/>
      <c r="AD132" s="258" t="s">
        <v>516</v>
      </c>
      <c r="AE132" s="259"/>
      <c r="AF132" s="75" t="str">
        <f>IF($A132&lt;&gt;9999,IF($C132=2,VLOOKUP($A132,中間シート!$D$187:$T$276,16,FALSE),VLOOKUP($A132,中間シート!$D$187:$T$276,11,FALSE)),"")</f>
        <v/>
      </c>
      <c r="AG132" s="70"/>
      <c r="AH132" s="70"/>
      <c r="AI132" s="70"/>
      <c r="AJ132" s="70"/>
      <c r="AK132" s="71"/>
    </row>
    <row r="133" spans="1:48" ht="16.5" customHeight="1" x14ac:dyDescent="0.2">
      <c r="A133" s="20">
        <f>中間シート!AI273</f>
        <v>9999</v>
      </c>
      <c r="B133" s="20" t="str">
        <f>中間シート!AK273</f>
        <v>事業場99</v>
      </c>
      <c r="C133" s="20" t="e">
        <f>中間シート!AJ273</f>
        <v>#N/A</v>
      </c>
      <c r="D133" s="20" t="str">
        <f>VLOOKUP($A133,中間シート!$D$187:$K$276,4)</f>
        <v/>
      </c>
      <c r="E133" s="20" t="str">
        <f>VLOOKUP($A133,中間シート!$D$187:$K$276,5)</f>
        <v/>
      </c>
      <c r="F133" s="20" t="str">
        <f>VLOOKUP($A133,中間シート!$D$187:$K$276,6)</f>
        <v/>
      </c>
      <c r="G133" s="20" t="str">
        <f>VLOOKUP($A133,中間シート!$D$187:$K$276,7)</f>
        <v/>
      </c>
      <c r="H133" s="20" t="str">
        <f>VLOOKUP($A133,中間シート!$D$187:$K$276,8)</f>
        <v/>
      </c>
      <c r="J133" s="248" t="str">
        <f t="shared" si="1"/>
        <v/>
      </c>
      <c r="K133" s="248"/>
      <c r="L133" s="248"/>
      <c r="M133" s="248"/>
      <c r="N133" s="260" t="str">
        <f>IF($A133&lt;&gt;9999,IF($C133=2,VLOOKUP($A133,中間シート!$D$187:$T$276,14,FALSE),VLOOKUP($A133,中間シート!$D$187:$T$276,9,FALSE)),"")</f>
        <v/>
      </c>
      <c r="O133" s="261"/>
      <c r="P133" s="261"/>
      <c r="Q133" s="261"/>
      <c r="R133" s="261"/>
      <c r="S133" s="261"/>
      <c r="T133" s="262"/>
      <c r="U133" s="258" t="s">
        <v>516</v>
      </c>
      <c r="V133" s="259"/>
      <c r="W133" s="260" t="str">
        <f>IF($A133&lt;&gt;9999,IF($C133=2,VLOOKUP($A133,中間シート!$D$187:$T$276,15,FALSE),VLOOKUP($A133,中間シート!$D$187:$T$276,10,FALSE)),"")</f>
        <v/>
      </c>
      <c r="X133" s="261"/>
      <c r="Y133" s="261"/>
      <c r="Z133" s="261"/>
      <c r="AA133" s="261"/>
      <c r="AB133" s="261"/>
      <c r="AC133" s="262"/>
      <c r="AD133" s="258" t="s">
        <v>516</v>
      </c>
      <c r="AE133" s="259"/>
      <c r="AF133" s="75" t="str">
        <f>IF($A133&lt;&gt;9999,IF($C133=2,VLOOKUP($A133,中間シート!$D$187:$T$276,16,FALSE),VLOOKUP($A133,中間シート!$D$187:$T$276,11,FALSE)),"")</f>
        <v/>
      </c>
      <c r="AG133" s="70"/>
      <c r="AH133" s="70"/>
      <c r="AI133" s="70"/>
      <c r="AJ133" s="70"/>
      <c r="AK133" s="71"/>
    </row>
    <row r="134" spans="1:48" ht="16.5" customHeight="1" x14ac:dyDescent="0.2">
      <c r="A134" s="20">
        <f>中間シート!AI274</f>
        <v>9999</v>
      </c>
      <c r="B134" s="20" t="str">
        <f>中間シート!AK274</f>
        <v>事業場99</v>
      </c>
      <c r="C134" s="20" t="e">
        <f>中間シート!AJ274</f>
        <v>#N/A</v>
      </c>
      <c r="D134" s="20" t="str">
        <f>VLOOKUP($A134,中間シート!$D$187:$K$276,4)</f>
        <v/>
      </c>
      <c r="E134" s="20" t="str">
        <f>VLOOKUP($A134,中間シート!$D$187:$K$276,5)</f>
        <v/>
      </c>
      <c r="F134" s="20" t="str">
        <f>VLOOKUP($A134,中間シート!$D$187:$K$276,6)</f>
        <v/>
      </c>
      <c r="G134" s="20" t="str">
        <f>VLOOKUP($A134,中間シート!$D$187:$K$276,7)</f>
        <v/>
      </c>
      <c r="H134" s="20" t="str">
        <f>VLOOKUP($A134,中間シート!$D$187:$K$276,8)</f>
        <v/>
      </c>
      <c r="J134" s="248" t="str">
        <f t="shared" si="1"/>
        <v/>
      </c>
      <c r="K134" s="248"/>
      <c r="L134" s="248"/>
      <c r="M134" s="248"/>
      <c r="N134" s="260" t="str">
        <f>IF($A134&lt;&gt;9999,IF($C134=2,VLOOKUP($A134,中間シート!$D$187:$T$276,14,FALSE),VLOOKUP($A134,中間シート!$D$187:$T$276,9,FALSE)),"")</f>
        <v/>
      </c>
      <c r="O134" s="261"/>
      <c r="P134" s="261"/>
      <c r="Q134" s="261"/>
      <c r="R134" s="261"/>
      <c r="S134" s="261"/>
      <c r="T134" s="262"/>
      <c r="U134" s="258" t="s">
        <v>516</v>
      </c>
      <c r="V134" s="259"/>
      <c r="W134" s="260" t="str">
        <f>IF($A134&lt;&gt;9999,IF($C134=2,VLOOKUP($A134,中間シート!$D$187:$T$276,15,FALSE),VLOOKUP($A134,中間シート!$D$187:$T$276,10,FALSE)),"")</f>
        <v/>
      </c>
      <c r="X134" s="261"/>
      <c r="Y134" s="261"/>
      <c r="Z134" s="261"/>
      <c r="AA134" s="261"/>
      <c r="AB134" s="261"/>
      <c r="AC134" s="262"/>
      <c r="AD134" s="258" t="s">
        <v>516</v>
      </c>
      <c r="AE134" s="259"/>
      <c r="AF134" s="75" t="str">
        <f>IF($A134&lt;&gt;9999,IF($C134=2,VLOOKUP($A134,中間シート!$D$187:$T$276,16,FALSE),VLOOKUP($A134,中間シート!$D$187:$T$276,11,FALSE)),"")</f>
        <v/>
      </c>
      <c r="AG134" s="70"/>
      <c r="AH134" s="70"/>
      <c r="AI134" s="70"/>
      <c r="AJ134" s="70"/>
      <c r="AK134" s="71"/>
    </row>
    <row r="135" spans="1:48" ht="16.5" customHeight="1" x14ac:dyDescent="0.2">
      <c r="A135" s="20">
        <f>中間シート!AI275</f>
        <v>9999</v>
      </c>
      <c r="B135" s="20" t="str">
        <f>中間シート!AK275</f>
        <v>事業場99</v>
      </c>
      <c r="C135" s="20" t="e">
        <f>中間シート!AJ275</f>
        <v>#N/A</v>
      </c>
      <c r="D135" s="20" t="str">
        <f>VLOOKUP($A135,中間シート!$D$187:$K$276,4)</f>
        <v/>
      </c>
      <c r="E135" s="20" t="str">
        <f>VLOOKUP($A135,中間シート!$D$187:$K$276,5)</f>
        <v/>
      </c>
      <c r="F135" s="20" t="str">
        <f>VLOOKUP($A135,中間シート!$D$187:$K$276,6)</f>
        <v/>
      </c>
      <c r="G135" s="20" t="str">
        <f>VLOOKUP($A135,中間シート!$D$187:$K$276,7)</f>
        <v/>
      </c>
      <c r="H135" s="20" t="str">
        <f>VLOOKUP($A135,中間シート!$D$187:$K$276,8)</f>
        <v/>
      </c>
      <c r="J135" s="248" t="str">
        <f t="shared" si="1"/>
        <v/>
      </c>
      <c r="K135" s="248"/>
      <c r="L135" s="248"/>
      <c r="M135" s="248"/>
      <c r="N135" s="260" t="str">
        <f>IF($A135&lt;&gt;9999,IF($C135=2,VLOOKUP($A135,中間シート!$D$187:$T$276,14,FALSE),VLOOKUP($A135,中間シート!$D$187:$T$276,9,FALSE)),"")</f>
        <v/>
      </c>
      <c r="O135" s="261"/>
      <c r="P135" s="261"/>
      <c r="Q135" s="261"/>
      <c r="R135" s="261"/>
      <c r="S135" s="261"/>
      <c r="T135" s="262"/>
      <c r="U135" s="258" t="s">
        <v>516</v>
      </c>
      <c r="V135" s="259"/>
      <c r="W135" s="260" t="str">
        <f>IF($A135&lt;&gt;9999,IF($C135=2,VLOOKUP($A135,中間シート!$D$187:$T$276,15,FALSE),VLOOKUP($A135,中間シート!$D$187:$T$276,10,FALSE)),"")</f>
        <v/>
      </c>
      <c r="X135" s="261"/>
      <c r="Y135" s="261"/>
      <c r="Z135" s="261"/>
      <c r="AA135" s="261"/>
      <c r="AB135" s="261"/>
      <c r="AC135" s="262"/>
      <c r="AD135" s="258" t="s">
        <v>516</v>
      </c>
      <c r="AE135" s="259"/>
      <c r="AF135" s="75" t="str">
        <f>IF($A135&lt;&gt;9999,IF($C135=2,VLOOKUP($A135,中間シート!$D$187:$T$276,16,FALSE),VLOOKUP($A135,中間シート!$D$187:$T$276,11,FALSE)),"")</f>
        <v/>
      </c>
      <c r="AG135" s="70"/>
      <c r="AH135" s="70"/>
      <c r="AI135" s="70"/>
      <c r="AJ135" s="70"/>
      <c r="AK135" s="71"/>
    </row>
    <row r="136" spans="1:48" ht="16.5" customHeight="1" x14ac:dyDescent="0.2">
      <c r="A136" s="20">
        <f>中間シート!AI276</f>
        <v>9999</v>
      </c>
      <c r="B136" s="20" t="str">
        <f>中間シート!AK276</f>
        <v>事業場99</v>
      </c>
      <c r="C136" s="20" t="e">
        <f>中間シート!AJ276</f>
        <v>#N/A</v>
      </c>
      <c r="D136" s="20" t="str">
        <f>VLOOKUP($A136,中間シート!$D$187:$K$276,4)</f>
        <v/>
      </c>
      <c r="E136" s="20" t="str">
        <f>VLOOKUP($A136,中間シート!$D$187:$K$276,5)</f>
        <v/>
      </c>
      <c r="F136" s="20" t="str">
        <f>VLOOKUP($A136,中間シート!$D$187:$K$276,6)</f>
        <v/>
      </c>
      <c r="G136" s="20" t="str">
        <f>VLOOKUP($A136,中間シート!$D$187:$K$276,7)</f>
        <v/>
      </c>
      <c r="H136" s="20" t="str">
        <f>VLOOKUP($A136,中間シート!$D$187:$K$276,8)</f>
        <v/>
      </c>
      <c r="J136" s="248" t="str">
        <f t="shared" si="1"/>
        <v/>
      </c>
      <c r="K136" s="248"/>
      <c r="L136" s="248"/>
      <c r="M136" s="248"/>
      <c r="N136" s="260" t="str">
        <f>IF($A136&lt;&gt;9999,IF($C136=2,VLOOKUP($A136,中間シート!$D$187:$T$276,14,FALSE),VLOOKUP($A136,中間シート!$D$187:$T$276,9,FALSE)),"")</f>
        <v/>
      </c>
      <c r="O136" s="261"/>
      <c r="P136" s="261"/>
      <c r="Q136" s="261"/>
      <c r="R136" s="261"/>
      <c r="S136" s="261"/>
      <c r="T136" s="262"/>
      <c r="U136" s="258" t="s">
        <v>516</v>
      </c>
      <c r="V136" s="259"/>
      <c r="W136" s="260" t="str">
        <f>IF($A136&lt;&gt;9999,IF($C136=2,VLOOKUP($A136,中間シート!$D$187:$T$276,15,FALSE),VLOOKUP($A136,中間シート!$D$187:$T$276,10,FALSE)),"")</f>
        <v/>
      </c>
      <c r="X136" s="261"/>
      <c r="Y136" s="261"/>
      <c r="Z136" s="261"/>
      <c r="AA136" s="261"/>
      <c r="AB136" s="261"/>
      <c r="AC136" s="262"/>
      <c r="AD136" s="258" t="s">
        <v>516</v>
      </c>
      <c r="AE136" s="259"/>
      <c r="AF136" s="75" t="str">
        <f>IF($A136&lt;&gt;9999,IF($C136=2,VLOOKUP($A136,中間シート!$D$187:$T$276,16,FALSE),VLOOKUP($A136,中間シート!$D$187:$T$276,11,FALSE)),"")</f>
        <v/>
      </c>
      <c r="AG136" s="70"/>
      <c r="AH136" s="70"/>
      <c r="AI136" s="70"/>
      <c r="AJ136" s="70"/>
      <c r="AK136" s="71"/>
    </row>
    <row r="137" spans="1:48" ht="16.5" customHeight="1" x14ac:dyDescent="0.2">
      <c r="J137" s="21"/>
      <c r="K137" s="21"/>
      <c r="L137" s="21"/>
      <c r="M137" s="21"/>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row>
    <row r="138" spans="1:48" ht="12.45" customHeight="1" x14ac:dyDescent="0.2">
      <c r="K138" s="50" t="s">
        <v>100</v>
      </c>
      <c r="L138" s="50"/>
      <c r="M138" s="271" t="s">
        <v>309</v>
      </c>
      <c r="N138" s="271"/>
      <c r="O138" s="271"/>
      <c r="P138" s="271"/>
      <c r="Q138" s="271"/>
      <c r="R138" s="271"/>
      <c r="S138" s="271"/>
      <c r="T138" s="271"/>
      <c r="U138" s="271"/>
      <c r="V138" s="271"/>
      <c r="W138" s="271"/>
      <c r="X138" s="271"/>
      <c r="Y138" s="271"/>
      <c r="Z138" s="271"/>
      <c r="AA138" s="271"/>
      <c r="AB138" s="271"/>
      <c r="AC138" s="271"/>
      <c r="AD138" s="271"/>
      <c r="AE138" s="271"/>
      <c r="AF138" s="271"/>
      <c r="AG138" s="271"/>
      <c r="AH138" s="271"/>
      <c r="AI138" s="271"/>
      <c r="AJ138" s="271"/>
      <c r="AK138" s="271"/>
      <c r="AL138" s="271"/>
      <c r="AM138" s="271"/>
      <c r="AN138" s="271"/>
      <c r="AO138" s="271"/>
      <c r="AP138" s="271"/>
      <c r="AQ138" s="271"/>
      <c r="AR138" s="271"/>
      <c r="AS138" s="271"/>
      <c r="AT138" s="271"/>
      <c r="AU138" s="271"/>
      <c r="AV138" s="271"/>
    </row>
    <row r="139" spans="1:48" x14ac:dyDescent="0.2">
      <c r="K139" s="50"/>
      <c r="L139" s="50"/>
      <c r="M139" s="271"/>
      <c r="N139" s="271"/>
      <c r="O139" s="271"/>
      <c r="P139" s="271"/>
      <c r="Q139" s="271"/>
      <c r="R139" s="271"/>
      <c r="S139" s="271"/>
      <c r="T139" s="271"/>
      <c r="U139" s="271"/>
      <c r="V139" s="271"/>
      <c r="W139" s="271"/>
      <c r="X139" s="271"/>
      <c r="Y139" s="271"/>
      <c r="Z139" s="271"/>
      <c r="AA139" s="271"/>
      <c r="AB139" s="271"/>
      <c r="AC139" s="271"/>
      <c r="AD139" s="271"/>
      <c r="AE139" s="271"/>
      <c r="AF139" s="271"/>
      <c r="AG139" s="271"/>
      <c r="AH139" s="271"/>
      <c r="AI139" s="271"/>
      <c r="AJ139" s="271"/>
      <c r="AK139" s="271"/>
      <c r="AL139" s="271"/>
      <c r="AM139" s="271"/>
      <c r="AN139" s="271"/>
      <c r="AO139" s="271"/>
      <c r="AP139" s="271"/>
      <c r="AQ139" s="271"/>
      <c r="AR139" s="271"/>
      <c r="AS139" s="271"/>
      <c r="AT139" s="271"/>
      <c r="AU139" s="271"/>
      <c r="AV139" s="271"/>
    </row>
    <row r="141" spans="1:48" x14ac:dyDescent="0.2">
      <c r="J141" s="23" t="s">
        <v>101</v>
      </c>
    </row>
    <row r="142" spans="1:48" ht="13.5" customHeight="1" x14ac:dyDescent="0.2">
      <c r="AU142" s="22" t="s">
        <v>102</v>
      </c>
    </row>
    <row r="143" spans="1:48" ht="30.75" customHeight="1" x14ac:dyDescent="0.2">
      <c r="J143" s="248" t="s">
        <v>103</v>
      </c>
      <c r="K143" s="248"/>
      <c r="L143" s="248"/>
      <c r="M143" s="248"/>
      <c r="N143" s="272" t="s">
        <v>32</v>
      </c>
      <c r="O143" s="273"/>
      <c r="P143" s="273"/>
      <c r="Q143" s="273"/>
      <c r="R143" s="273"/>
      <c r="S143" s="273"/>
      <c r="T143" s="273"/>
      <c r="U143" s="273"/>
      <c r="V143" s="273"/>
      <c r="W143" s="273"/>
      <c r="X143" s="273"/>
      <c r="Y143" s="273"/>
      <c r="Z143" s="273"/>
      <c r="AA143" s="273"/>
      <c r="AB143" s="273"/>
      <c r="AC143" s="273"/>
      <c r="AD143" s="273"/>
      <c r="AE143" s="274"/>
      <c r="AF143" s="267" t="s">
        <v>36</v>
      </c>
      <c r="AG143" s="268"/>
      <c r="AH143" s="268"/>
      <c r="AI143" s="268"/>
      <c r="AJ143" s="268"/>
      <c r="AK143" s="268"/>
      <c r="AL143" s="269"/>
      <c r="AM143" s="248" t="s">
        <v>37</v>
      </c>
      <c r="AN143" s="248"/>
      <c r="AO143" s="248"/>
      <c r="AP143" s="248"/>
      <c r="AQ143" s="248"/>
      <c r="AR143" s="248"/>
      <c r="AS143" s="248"/>
      <c r="AT143" s="248"/>
      <c r="AU143" s="248"/>
    </row>
    <row r="144" spans="1:48" ht="16.5" customHeight="1" x14ac:dyDescent="0.2">
      <c r="J144" s="248" t="s">
        <v>92</v>
      </c>
      <c r="K144" s="248"/>
      <c r="L144" s="248"/>
      <c r="M144" s="248"/>
      <c r="N144" s="263" t="str">
        <f>IF(中間シート!D373&lt;&gt;0,中間シート!D373,"")</f>
        <v/>
      </c>
      <c r="O144" s="264"/>
      <c r="P144" s="264"/>
      <c r="Q144" s="264"/>
      <c r="R144" s="264"/>
      <c r="S144" s="264"/>
      <c r="T144" s="264"/>
      <c r="U144" s="264"/>
      <c r="V144" s="264"/>
      <c r="W144" s="264"/>
      <c r="X144" s="264"/>
      <c r="Y144" s="264"/>
      <c r="Z144" s="264"/>
      <c r="AA144" s="264"/>
      <c r="AB144" s="264"/>
      <c r="AC144" s="264"/>
      <c r="AD144" s="264"/>
      <c r="AE144" s="265"/>
      <c r="AF144" s="267" t="s">
        <v>105</v>
      </c>
      <c r="AG144" s="268"/>
      <c r="AH144" s="268"/>
      <c r="AI144" s="268"/>
      <c r="AJ144" s="268"/>
      <c r="AK144" s="268"/>
      <c r="AL144" s="269"/>
      <c r="AM144" s="266" t="str">
        <f>IF(中間シート!H373&lt;&gt;0,中間シート!H373,"")</f>
        <v/>
      </c>
      <c r="AN144" s="266"/>
      <c r="AO144" s="266"/>
      <c r="AP144" s="266"/>
      <c r="AQ144" s="266"/>
      <c r="AR144" s="266"/>
      <c r="AS144" s="266"/>
      <c r="AT144" s="266"/>
      <c r="AU144" s="266"/>
    </row>
    <row r="145" spans="10:47" ht="16.5" customHeight="1" x14ac:dyDescent="0.2">
      <c r="J145" s="248" t="s">
        <v>94</v>
      </c>
      <c r="K145" s="248"/>
      <c r="L145" s="248"/>
      <c r="M145" s="248"/>
      <c r="N145" s="263" t="str">
        <f>IF(中間シート!D374&lt;&gt;0,中間シート!D374,"")</f>
        <v/>
      </c>
      <c r="O145" s="264"/>
      <c r="P145" s="264"/>
      <c r="Q145" s="264"/>
      <c r="R145" s="264"/>
      <c r="S145" s="264"/>
      <c r="T145" s="264"/>
      <c r="U145" s="264"/>
      <c r="V145" s="264"/>
      <c r="W145" s="264"/>
      <c r="X145" s="264"/>
      <c r="Y145" s="264"/>
      <c r="Z145" s="264"/>
      <c r="AA145" s="264"/>
      <c r="AB145" s="264"/>
      <c r="AC145" s="264"/>
      <c r="AD145" s="264"/>
      <c r="AE145" s="265"/>
      <c r="AF145" s="267" t="s">
        <v>105</v>
      </c>
      <c r="AG145" s="268"/>
      <c r="AH145" s="268"/>
      <c r="AI145" s="268"/>
      <c r="AJ145" s="268"/>
      <c r="AK145" s="268"/>
      <c r="AL145" s="269"/>
      <c r="AM145" s="266" t="str">
        <f>IF(中間シート!H374&lt;&gt;0,中間シート!H374,"")</f>
        <v/>
      </c>
      <c r="AN145" s="266"/>
      <c r="AO145" s="266"/>
      <c r="AP145" s="266"/>
      <c r="AQ145" s="266"/>
      <c r="AR145" s="266"/>
      <c r="AS145" s="266"/>
      <c r="AT145" s="266"/>
      <c r="AU145" s="266"/>
    </row>
    <row r="146" spans="10:47" ht="17.100000000000001" customHeight="1" x14ac:dyDescent="0.2">
      <c r="J146" s="248" t="s">
        <v>108</v>
      </c>
      <c r="K146" s="248"/>
      <c r="L146" s="248"/>
      <c r="M146" s="248"/>
      <c r="N146" s="263" t="str">
        <f>IF(中間シート!D375&lt;&gt;0,中間シート!D375,"")</f>
        <v/>
      </c>
      <c r="O146" s="264"/>
      <c r="P146" s="264"/>
      <c r="Q146" s="264"/>
      <c r="R146" s="264"/>
      <c r="S146" s="264"/>
      <c r="T146" s="264"/>
      <c r="U146" s="264"/>
      <c r="V146" s="264"/>
      <c r="W146" s="264"/>
      <c r="X146" s="264"/>
      <c r="Y146" s="264"/>
      <c r="Z146" s="264"/>
      <c r="AA146" s="264"/>
      <c r="AB146" s="264"/>
      <c r="AC146" s="264"/>
      <c r="AD146" s="264"/>
      <c r="AE146" s="265"/>
      <c r="AF146" s="267" t="str">
        <f>IF(W146&lt;&gt;"","１／３以内","")</f>
        <v/>
      </c>
      <c r="AG146" s="268"/>
      <c r="AH146" s="268"/>
      <c r="AI146" s="268"/>
      <c r="AJ146" s="268"/>
      <c r="AK146" s="268"/>
      <c r="AL146" s="269"/>
      <c r="AM146" s="266" t="str">
        <f>IF(中間シート!H375&lt;&gt;0,中間シート!H375,"")</f>
        <v/>
      </c>
      <c r="AN146" s="266"/>
      <c r="AO146" s="266"/>
      <c r="AP146" s="266"/>
      <c r="AQ146" s="266"/>
      <c r="AR146" s="266"/>
      <c r="AS146" s="266"/>
      <c r="AT146" s="266"/>
      <c r="AU146" s="266"/>
    </row>
    <row r="147" spans="10:47" ht="17.100000000000001" customHeight="1" x14ac:dyDescent="0.2">
      <c r="J147" s="248" t="s">
        <v>109</v>
      </c>
      <c r="K147" s="248"/>
      <c r="L147" s="248"/>
      <c r="M147" s="248"/>
      <c r="N147" s="263" t="str">
        <f>IF(中間シート!D376&lt;&gt;0,中間シート!D376,"")</f>
        <v/>
      </c>
      <c r="O147" s="264"/>
      <c r="P147" s="264"/>
      <c r="Q147" s="264"/>
      <c r="R147" s="264"/>
      <c r="S147" s="264"/>
      <c r="T147" s="264"/>
      <c r="U147" s="264"/>
      <c r="V147" s="264"/>
      <c r="W147" s="264"/>
      <c r="X147" s="264"/>
      <c r="Y147" s="264"/>
      <c r="Z147" s="264"/>
      <c r="AA147" s="264"/>
      <c r="AB147" s="264"/>
      <c r="AC147" s="264"/>
      <c r="AD147" s="264"/>
      <c r="AE147" s="265"/>
      <c r="AF147" s="267" t="str">
        <f t="shared" ref="AF147:AF149" si="2">IF(W147&lt;&gt;"","１／３以内","")</f>
        <v/>
      </c>
      <c r="AG147" s="268"/>
      <c r="AH147" s="268"/>
      <c r="AI147" s="268"/>
      <c r="AJ147" s="268"/>
      <c r="AK147" s="268"/>
      <c r="AL147" s="269"/>
      <c r="AM147" s="266" t="str">
        <f>IF(中間シート!H376&lt;&gt;0,中間シート!H376,"")</f>
        <v/>
      </c>
      <c r="AN147" s="266"/>
      <c r="AO147" s="266"/>
      <c r="AP147" s="266"/>
      <c r="AQ147" s="266"/>
      <c r="AR147" s="266"/>
      <c r="AS147" s="266"/>
      <c r="AT147" s="266"/>
      <c r="AU147" s="266"/>
    </row>
    <row r="148" spans="10:47" ht="17.100000000000001" customHeight="1" x14ac:dyDescent="0.2">
      <c r="J148" s="248" t="s">
        <v>110</v>
      </c>
      <c r="K148" s="248"/>
      <c r="L148" s="248"/>
      <c r="M148" s="248"/>
      <c r="N148" s="263" t="str">
        <f>IF(中間シート!D377&lt;&gt;0,中間シート!D377,"")</f>
        <v/>
      </c>
      <c r="O148" s="264"/>
      <c r="P148" s="264"/>
      <c r="Q148" s="264"/>
      <c r="R148" s="264"/>
      <c r="S148" s="264"/>
      <c r="T148" s="264"/>
      <c r="U148" s="264"/>
      <c r="V148" s="264"/>
      <c r="W148" s="264"/>
      <c r="X148" s="264"/>
      <c r="Y148" s="264"/>
      <c r="Z148" s="264"/>
      <c r="AA148" s="264"/>
      <c r="AB148" s="264"/>
      <c r="AC148" s="264"/>
      <c r="AD148" s="264"/>
      <c r="AE148" s="265"/>
      <c r="AF148" s="267" t="str">
        <f t="shared" si="2"/>
        <v/>
      </c>
      <c r="AG148" s="268"/>
      <c r="AH148" s="268"/>
      <c r="AI148" s="268"/>
      <c r="AJ148" s="268"/>
      <c r="AK148" s="268"/>
      <c r="AL148" s="269"/>
      <c r="AM148" s="266" t="str">
        <f>IF(中間シート!H377&lt;&gt;0,中間シート!H377,"")</f>
        <v/>
      </c>
      <c r="AN148" s="266"/>
      <c r="AO148" s="266"/>
      <c r="AP148" s="266"/>
      <c r="AQ148" s="266"/>
      <c r="AR148" s="266"/>
      <c r="AS148" s="266"/>
      <c r="AT148" s="266"/>
      <c r="AU148" s="266"/>
    </row>
    <row r="149" spans="10:47" ht="17.100000000000001" customHeight="1" x14ac:dyDescent="0.2">
      <c r="J149" s="248" t="s">
        <v>111</v>
      </c>
      <c r="K149" s="248"/>
      <c r="L149" s="248"/>
      <c r="M149" s="248"/>
      <c r="N149" s="263" t="str">
        <f>IF(中間シート!D378&lt;&gt;0,中間シート!D378,"")</f>
        <v/>
      </c>
      <c r="O149" s="264"/>
      <c r="P149" s="264"/>
      <c r="Q149" s="264"/>
      <c r="R149" s="264"/>
      <c r="S149" s="264"/>
      <c r="T149" s="264"/>
      <c r="U149" s="264"/>
      <c r="V149" s="264"/>
      <c r="W149" s="264"/>
      <c r="X149" s="264"/>
      <c r="Y149" s="264"/>
      <c r="Z149" s="264"/>
      <c r="AA149" s="264"/>
      <c r="AB149" s="264"/>
      <c r="AC149" s="264"/>
      <c r="AD149" s="264"/>
      <c r="AE149" s="265"/>
      <c r="AF149" s="267" t="str">
        <f t="shared" si="2"/>
        <v/>
      </c>
      <c r="AG149" s="268"/>
      <c r="AH149" s="268"/>
      <c r="AI149" s="268"/>
      <c r="AJ149" s="268"/>
      <c r="AK149" s="268"/>
      <c r="AL149" s="269"/>
      <c r="AM149" s="266" t="str">
        <f>IF(中間シート!H378&lt;&gt;0,中間シート!H378,"")</f>
        <v/>
      </c>
      <c r="AN149" s="266"/>
      <c r="AO149" s="266"/>
      <c r="AP149" s="266"/>
      <c r="AQ149" s="266"/>
      <c r="AR149" s="266"/>
      <c r="AS149" s="266"/>
      <c r="AT149" s="266"/>
      <c r="AU149" s="266"/>
    </row>
    <row r="150" spans="10:47" ht="17.100000000000001" customHeight="1" x14ac:dyDescent="0.2">
      <c r="J150" s="248" t="s">
        <v>112</v>
      </c>
      <c r="K150" s="248"/>
      <c r="L150" s="248"/>
      <c r="M150" s="248"/>
      <c r="N150" s="263" t="str">
        <f>IF(中間シート!D379&lt;&gt;0,中間シート!D379,"")</f>
        <v/>
      </c>
      <c r="O150" s="264"/>
      <c r="P150" s="264"/>
      <c r="Q150" s="264"/>
      <c r="R150" s="264"/>
      <c r="S150" s="264"/>
      <c r="T150" s="264"/>
      <c r="U150" s="264"/>
      <c r="V150" s="264"/>
      <c r="W150" s="264"/>
      <c r="X150" s="264"/>
      <c r="Y150" s="264"/>
      <c r="Z150" s="264"/>
      <c r="AA150" s="264"/>
      <c r="AB150" s="264"/>
      <c r="AC150" s="264"/>
      <c r="AD150" s="264"/>
      <c r="AE150" s="265"/>
      <c r="AF150" s="267" t="str">
        <f t="shared" ref="AF150:AF173" si="3">IF(W150&lt;&gt;"","１／３以内","")</f>
        <v/>
      </c>
      <c r="AG150" s="268"/>
      <c r="AH150" s="268"/>
      <c r="AI150" s="268"/>
      <c r="AJ150" s="268"/>
      <c r="AK150" s="268"/>
      <c r="AL150" s="269"/>
      <c r="AM150" s="266" t="str">
        <f>IF(中間シート!H379&lt;&gt;0,中間シート!H379,"")</f>
        <v/>
      </c>
      <c r="AN150" s="266"/>
      <c r="AO150" s="266"/>
      <c r="AP150" s="266"/>
      <c r="AQ150" s="266"/>
      <c r="AR150" s="266"/>
      <c r="AS150" s="266"/>
      <c r="AT150" s="266"/>
      <c r="AU150" s="266"/>
    </row>
    <row r="151" spans="10:47" ht="17.100000000000001" customHeight="1" x14ac:dyDescent="0.2">
      <c r="J151" s="248" t="s">
        <v>113</v>
      </c>
      <c r="K151" s="248"/>
      <c r="L151" s="248"/>
      <c r="M151" s="248"/>
      <c r="N151" s="263" t="str">
        <f>IF(中間シート!D380&lt;&gt;0,中間シート!D380,"")</f>
        <v/>
      </c>
      <c r="O151" s="264"/>
      <c r="P151" s="264"/>
      <c r="Q151" s="264"/>
      <c r="R151" s="264"/>
      <c r="S151" s="264"/>
      <c r="T151" s="264"/>
      <c r="U151" s="264"/>
      <c r="V151" s="264"/>
      <c r="W151" s="264"/>
      <c r="X151" s="264"/>
      <c r="Y151" s="264"/>
      <c r="Z151" s="264"/>
      <c r="AA151" s="264"/>
      <c r="AB151" s="264"/>
      <c r="AC151" s="264"/>
      <c r="AD151" s="264"/>
      <c r="AE151" s="265"/>
      <c r="AF151" s="267" t="str">
        <f t="shared" si="3"/>
        <v/>
      </c>
      <c r="AG151" s="268"/>
      <c r="AH151" s="268"/>
      <c r="AI151" s="268"/>
      <c r="AJ151" s="268"/>
      <c r="AK151" s="268"/>
      <c r="AL151" s="269"/>
      <c r="AM151" s="266" t="str">
        <f>IF(中間シート!H380&lt;&gt;0,中間シート!H380,"")</f>
        <v/>
      </c>
      <c r="AN151" s="266"/>
      <c r="AO151" s="266"/>
      <c r="AP151" s="266"/>
      <c r="AQ151" s="266"/>
      <c r="AR151" s="266"/>
      <c r="AS151" s="266"/>
      <c r="AT151" s="266"/>
      <c r="AU151" s="266"/>
    </row>
    <row r="152" spans="10:47" ht="17.100000000000001" customHeight="1" x14ac:dyDescent="0.2">
      <c r="J152" s="248" t="s">
        <v>114</v>
      </c>
      <c r="K152" s="248"/>
      <c r="L152" s="248"/>
      <c r="M152" s="248"/>
      <c r="N152" s="263" t="str">
        <f>IF(中間シート!D381&lt;&gt;0,中間シート!D381,"")</f>
        <v/>
      </c>
      <c r="O152" s="264"/>
      <c r="P152" s="264"/>
      <c r="Q152" s="264"/>
      <c r="R152" s="264"/>
      <c r="S152" s="264"/>
      <c r="T152" s="264"/>
      <c r="U152" s="264"/>
      <c r="V152" s="264"/>
      <c r="W152" s="264"/>
      <c r="X152" s="264"/>
      <c r="Y152" s="264"/>
      <c r="Z152" s="264"/>
      <c r="AA152" s="264"/>
      <c r="AB152" s="264"/>
      <c r="AC152" s="264"/>
      <c r="AD152" s="264"/>
      <c r="AE152" s="265"/>
      <c r="AF152" s="267" t="str">
        <f t="shared" si="3"/>
        <v/>
      </c>
      <c r="AG152" s="268"/>
      <c r="AH152" s="268"/>
      <c r="AI152" s="268"/>
      <c r="AJ152" s="268"/>
      <c r="AK152" s="268"/>
      <c r="AL152" s="269"/>
      <c r="AM152" s="266" t="str">
        <f>IF(中間シート!H381&lt;&gt;0,中間シート!H381,"")</f>
        <v/>
      </c>
      <c r="AN152" s="266"/>
      <c r="AO152" s="266"/>
      <c r="AP152" s="266"/>
      <c r="AQ152" s="266"/>
      <c r="AR152" s="266"/>
      <c r="AS152" s="266"/>
      <c r="AT152" s="266"/>
      <c r="AU152" s="266"/>
    </row>
    <row r="153" spans="10:47" ht="17.100000000000001" customHeight="1" x14ac:dyDescent="0.2">
      <c r="J153" s="248" t="s">
        <v>115</v>
      </c>
      <c r="K153" s="248"/>
      <c r="L153" s="248"/>
      <c r="M153" s="248"/>
      <c r="N153" s="263" t="str">
        <f>IF(中間シート!D382&lt;&gt;0,中間シート!D382,"")</f>
        <v/>
      </c>
      <c r="O153" s="264"/>
      <c r="P153" s="264"/>
      <c r="Q153" s="264"/>
      <c r="R153" s="264"/>
      <c r="S153" s="264"/>
      <c r="T153" s="264"/>
      <c r="U153" s="264"/>
      <c r="V153" s="264"/>
      <c r="W153" s="264"/>
      <c r="X153" s="264"/>
      <c r="Y153" s="264"/>
      <c r="Z153" s="264"/>
      <c r="AA153" s="264"/>
      <c r="AB153" s="264"/>
      <c r="AC153" s="264"/>
      <c r="AD153" s="264"/>
      <c r="AE153" s="265"/>
      <c r="AF153" s="267" t="str">
        <f t="shared" si="3"/>
        <v/>
      </c>
      <c r="AG153" s="268"/>
      <c r="AH153" s="268"/>
      <c r="AI153" s="268"/>
      <c r="AJ153" s="268"/>
      <c r="AK153" s="268"/>
      <c r="AL153" s="269"/>
      <c r="AM153" s="266" t="str">
        <f>IF(中間シート!H382&lt;&gt;0,中間シート!H382,"")</f>
        <v/>
      </c>
      <c r="AN153" s="266"/>
      <c r="AO153" s="266"/>
      <c r="AP153" s="266"/>
      <c r="AQ153" s="266"/>
      <c r="AR153" s="266"/>
      <c r="AS153" s="266"/>
      <c r="AT153" s="266"/>
      <c r="AU153" s="266"/>
    </row>
    <row r="154" spans="10:47" ht="17.100000000000001" customHeight="1" x14ac:dyDescent="0.2">
      <c r="J154" s="248" t="s">
        <v>117</v>
      </c>
      <c r="K154" s="248"/>
      <c r="L154" s="248"/>
      <c r="M154" s="248"/>
      <c r="N154" s="263" t="str">
        <f>IF(中間シート!D383&lt;&gt;0,中間シート!D383,"")</f>
        <v/>
      </c>
      <c r="O154" s="264"/>
      <c r="P154" s="264"/>
      <c r="Q154" s="264"/>
      <c r="R154" s="264"/>
      <c r="S154" s="264"/>
      <c r="T154" s="264"/>
      <c r="U154" s="264"/>
      <c r="V154" s="264"/>
      <c r="W154" s="264"/>
      <c r="X154" s="264"/>
      <c r="Y154" s="264"/>
      <c r="Z154" s="264"/>
      <c r="AA154" s="264"/>
      <c r="AB154" s="264"/>
      <c r="AC154" s="264"/>
      <c r="AD154" s="264"/>
      <c r="AE154" s="265"/>
      <c r="AF154" s="267" t="str">
        <f t="shared" si="3"/>
        <v/>
      </c>
      <c r="AG154" s="268"/>
      <c r="AH154" s="268"/>
      <c r="AI154" s="268"/>
      <c r="AJ154" s="268"/>
      <c r="AK154" s="268"/>
      <c r="AL154" s="269"/>
      <c r="AM154" s="266" t="str">
        <f>IF(中間シート!H383&lt;&gt;0,中間シート!H383,"")</f>
        <v/>
      </c>
      <c r="AN154" s="266"/>
      <c r="AO154" s="266"/>
      <c r="AP154" s="266"/>
      <c r="AQ154" s="266"/>
      <c r="AR154" s="266"/>
      <c r="AS154" s="266"/>
      <c r="AT154" s="266"/>
      <c r="AU154" s="266"/>
    </row>
    <row r="155" spans="10:47" ht="17.100000000000001" customHeight="1" x14ac:dyDescent="0.2">
      <c r="J155" s="248" t="s">
        <v>118</v>
      </c>
      <c r="K155" s="248"/>
      <c r="L155" s="248"/>
      <c r="M155" s="248"/>
      <c r="N155" s="263" t="str">
        <f>IF(中間シート!D384&lt;&gt;0,中間シート!D384,"")</f>
        <v/>
      </c>
      <c r="O155" s="264"/>
      <c r="P155" s="264"/>
      <c r="Q155" s="264"/>
      <c r="R155" s="264"/>
      <c r="S155" s="264"/>
      <c r="T155" s="264"/>
      <c r="U155" s="264"/>
      <c r="V155" s="264"/>
      <c r="W155" s="264"/>
      <c r="X155" s="264"/>
      <c r="Y155" s="264"/>
      <c r="Z155" s="264"/>
      <c r="AA155" s="264"/>
      <c r="AB155" s="264"/>
      <c r="AC155" s="264"/>
      <c r="AD155" s="264"/>
      <c r="AE155" s="265"/>
      <c r="AF155" s="267" t="str">
        <f t="shared" si="3"/>
        <v/>
      </c>
      <c r="AG155" s="268"/>
      <c r="AH155" s="268"/>
      <c r="AI155" s="268"/>
      <c r="AJ155" s="268"/>
      <c r="AK155" s="268"/>
      <c r="AL155" s="269"/>
      <c r="AM155" s="266" t="str">
        <f>IF(中間シート!H384&lt;&gt;0,中間シート!H384,"")</f>
        <v/>
      </c>
      <c r="AN155" s="266"/>
      <c r="AO155" s="266"/>
      <c r="AP155" s="266"/>
      <c r="AQ155" s="266"/>
      <c r="AR155" s="266"/>
      <c r="AS155" s="266"/>
      <c r="AT155" s="266"/>
      <c r="AU155" s="266"/>
    </row>
    <row r="156" spans="10:47" ht="17.100000000000001" customHeight="1" x14ac:dyDescent="0.2">
      <c r="J156" s="248" t="s">
        <v>119</v>
      </c>
      <c r="K156" s="248"/>
      <c r="L156" s="248"/>
      <c r="M156" s="248"/>
      <c r="N156" s="263" t="str">
        <f>IF(中間シート!D385&lt;&gt;0,中間シート!D385,"")</f>
        <v/>
      </c>
      <c r="O156" s="264"/>
      <c r="P156" s="264"/>
      <c r="Q156" s="264"/>
      <c r="R156" s="264"/>
      <c r="S156" s="264"/>
      <c r="T156" s="264"/>
      <c r="U156" s="264"/>
      <c r="V156" s="264"/>
      <c r="W156" s="264"/>
      <c r="X156" s="264"/>
      <c r="Y156" s="264"/>
      <c r="Z156" s="264"/>
      <c r="AA156" s="264"/>
      <c r="AB156" s="264"/>
      <c r="AC156" s="264"/>
      <c r="AD156" s="264"/>
      <c r="AE156" s="265"/>
      <c r="AF156" s="267" t="str">
        <f t="shared" si="3"/>
        <v/>
      </c>
      <c r="AG156" s="268"/>
      <c r="AH156" s="268"/>
      <c r="AI156" s="268"/>
      <c r="AJ156" s="268"/>
      <c r="AK156" s="268"/>
      <c r="AL156" s="269"/>
      <c r="AM156" s="266" t="str">
        <f>IF(中間シート!H385&lt;&gt;0,中間シート!H385,"")</f>
        <v/>
      </c>
      <c r="AN156" s="266"/>
      <c r="AO156" s="266"/>
      <c r="AP156" s="266"/>
      <c r="AQ156" s="266"/>
      <c r="AR156" s="266"/>
      <c r="AS156" s="266"/>
      <c r="AT156" s="266"/>
      <c r="AU156" s="266"/>
    </row>
    <row r="157" spans="10:47" ht="17.100000000000001" customHeight="1" x14ac:dyDescent="0.2">
      <c r="J157" s="248" t="s">
        <v>120</v>
      </c>
      <c r="K157" s="248"/>
      <c r="L157" s="248"/>
      <c r="M157" s="248"/>
      <c r="N157" s="263" t="str">
        <f>IF(中間シート!D386&lt;&gt;0,中間シート!D386,"")</f>
        <v/>
      </c>
      <c r="O157" s="264"/>
      <c r="P157" s="264"/>
      <c r="Q157" s="264"/>
      <c r="R157" s="264"/>
      <c r="S157" s="264"/>
      <c r="T157" s="264"/>
      <c r="U157" s="264"/>
      <c r="V157" s="264"/>
      <c r="W157" s="264"/>
      <c r="X157" s="264"/>
      <c r="Y157" s="264"/>
      <c r="Z157" s="264"/>
      <c r="AA157" s="264"/>
      <c r="AB157" s="264"/>
      <c r="AC157" s="264"/>
      <c r="AD157" s="264"/>
      <c r="AE157" s="265"/>
      <c r="AF157" s="267" t="str">
        <f t="shared" si="3"/>
        <v/>
      </c>
      <c r="AG157" s="268"/>
      <c r="AH157" s="268"/>
      <c r="AI157" s="268"/>
      <c r="AJ157" s="268"/>
      <c r="AK157" s="268"/>
      <c r="AL157" s="269"/>
      <c r="AM157" s="266" t="str">
        <f>IF(中間シート!H386&lt;&gt;0,中間シート!H386,"")</f>
        <v/>
      </c>
      <c r="AN157" s="266"/>
      <c r="AO157" s="266"/>
      <c r="AP157" s="266"/>
      <c r="AQ157" s="266"/>
      <c r="AR157" s="266"/>
      <c r="AS157" s="266"/>
      <c r="AT157" s="266"/>
      <c r="AU157" s="266"/>
    </row>
    <row r="158" spans="10:47" ht="17.100000000000001" customHeight="1" x14ac:dyDescent="0.2">
      <c r="J158" s="248" t="s">
        <v>121</v>
      </c>
      <c r="K158" s="248"/>
      <c r="L158" s="248"/>
      <c r="M158" s="248"/>
      <c r="N158" s="263" t="str">
        <f>IF(中間シート!D387&lt;&gt;0,中間シート!D387,"")</f>
        <v/>
      </c>
      <c r="O158" s="264"/>
      <c r="P158" s="264"/>
      <c r="Q158" s="264"/>
      <c r="R158" s="264"/>
      <c r="S158" s="264"/>
      <c r="T158" s="264"/>
      <c r="U158" s="264"/>
      <c r="V158" s="264"/>
      <c r="W158" s="264"/>
      <c r="X158" s="264"/>
      <c r="Y158" s="264"/>
      <c r="Z158" s="264"/>
      <c r="AA158" s="264"/>
      <c r="AB158" s="264"/>
      <c r="AC158" s="264"/>
      <c r="AD158" s="264"/>
      <c r="AE158" s="265"/>
      <c r="AF158" s="267" t="str">
        <f t="shared" si="3"/>
        <v/>
      </c>
      <c r="AG158" s="268"/>
      <c r="AH158" s="268"/>
      <c r="AI158" s="268"/>
      <c r="AJ158" s="268"/>
      <c r="AK158" s="268"/>
      <c r="AL158" s="269"/>
      <c r="AM158" s="266" t="str">
        <f>IF(中間シート!H387&lt;&gt;0,中間シート!H387,"")</f>
        <v/>
      </c>
      <c r="AN158" s="266"/>
      <c r="AO158" s="266"/>
      <c r="AP158" s="266"/>
      <c r="AQ158" s="266"/>
      <c r="AR158" s="266"/>
      <c r="AS158" s="266"/>
      <c r="AT158" s="266"/>
      <c r="AU158" s="266"/>
    </row>
    <row r="159" spans="10:47" ht="17.100000000000001" customHeight="1" x14ac:dyDescent="0.2">
      <c r="J159" s="248" t="s">
        <v>122</v>
      </c>
      <c r="K159" s="248"/>
      <c r="L159" s="248"/>
      <c r="M159" s="248"/>
      <c r="N159" s="263" t="str">
        <f>IF(中間シート!D388&lt;&gt;0,中間シート!D388,"")</f>
        <v/>
      </c>
      <c r="O159" s="264"/>
      <c r="P159" s="264"/>
      <c r="Q159" s="264"/>
      <c r="R159" s="264"/>
      <c r="S159" s="264"/>
      <c r="T159" s="264"/>
      <c r="U159" s="264"/>
      <c r="V159" s="264"/>
      <c r="W159" s="264"/>
      <c r="X159" s="264"/>
      <c r="Y159" s="264"/>
      <c r="Z159" s="264"/>
      <c r="AA159" s="264"/>
      <c r="AB159" s="264"/>
      <c r="AC159" s="264"/>
      <c r="AD159" s="264"/>
      <c r="AE159" s="265"/>
      <c r="AF159" s="267" t="str">
        <f t="shared" si="3"/>
        <v/>
      </c>
      <c r="AG159" s="268"/>
      <c r="AH159" s="268"/>
      <c r="AI159" s="268"/>
      <c r="AJ159" s="268"/>
      <c r="AK159" s="268"/>
      <c r="AL159" s="269"/>
      <c r="AM159" s="266" t="str">
        <f>IF(中間シート!H388&lt;&gt;0,中間シート!H388,"")</f>
        <v/>
      </c>
      <c r="AN159" s="266"/>
      <c r="AO159" s="266"/>
      <c r="AP159" s="266"/>
      <c r="AQ159" s="266"/>
      <c r="AR159" s="266"/>
      <c r="AS159" s="266"/>
      <c r="AT159" s="266"/>
      <c r="AU159" s="266"/>
    </row>
    <row r="160" spans="10:47" ht="17.100000000000001" customHeight="1" x14ac:dyDescent="0.2">
      <c r="J160" s="248" t="s">
        <v>123</v>
      </c>
      <c r="K160" s="248"/>
      <c r="L160" s="248"/>
      <c r="M160" s="248"/>
      <c r="N160" s="263" t="str">
        <f>IF(中間シート!D389&lt;&gt;0,中間シート!D389,"")</f>
        <v/>
      </c>
      <c r="O160" s="264"/>
      <c r="P160" s="264"/>
      <c r="Q160" s="264"/>
      <c r="R160" s="264"/>
      <c r="S160" s="264"/>
      <c r="T160" s="264"/>
      <c r="U160" s="264"/>
      <c r="V160" s="264"/>
      <c r="W160" s="264"/>
      <c r="X160" s="264"/>
      <c r="Y160" s="264"/>
      <c r="Z160" s="264"/>
      <c r="AA160" s="264"/>
      <c r="AB160" s="264"/>
      <c r="AC160" s="264"/>
      <c r="AD160" s="264"/>
      <c r="AE160" s="265"/>
      <c r="AF160" s="267" t="str">
        <f t="shared" si="3"/>
        <v/>
      </c>
      <c r="AG160" s="268"/>
      <c r="AH160" s="268"/>
      <c r="AI160" s="268"/>
      <c r="AJ160" s="268"/>
      <c r="AK160" s="268"/>
      <c r="AL160" s="269"/>
      <c r="AM160" s="266" t="str">
        <f>IF(中間シート!H389&lt;&gt;0,中間シート!H389,"")</f>
        <v/>
      </c>
      <c r="AN160" s="266"/>
      <c r="AO160" s="266"/>
      <c r="AP160" s="266"/>
      <c r="AQ160" s="266"/>
      <c r="AR160" s="266"/>
      <c r="AS160" s="266"/>
      <c r="AT160" s="266"/>
      <c r="AU160" s="266"/>
    </row>
    <row r="161" spans="10:49" ht="17.100000000000001" customHeight="1" x14ac:dyDescent="0.2">
      <c r="J161" s="248" t="s">
        <v>124</v>
      </c>
      <c r="K161" s="248"/>
      <c r="L161" s="248"/>
      <c r="M161" s="248"/>
      <c r="N161" s="263" t="str">
        <f>IF(中間シート!D390&lt;&gt;0,中間シート!D390,"")</f>
        <v/>
      </c>
      <c r="O161" s="264"/>
      <c r="P161" s="264"/>
      <c r="Q161" s="264"/>
      <c r="R161" s="264"/>
      <c r="S161" s="264"/>
      <c r="T161" s="264"/>
      <c r="U161" s="264"/>
      <c r="V161" s="264"/>
      <c r="W161" s="264"/>
      <c r="X161" s="264"/>
      <c r="Y161" s="264"/>
      <c r="Z161" s="264"/>
      <c r="AA161" s="264"/>
      <c r="AB161" s="264"/>
      <c r="AC161" s="264"/>
      <c r="AD161" s="264"/>
      <c r="AE161" s="265"/>
      <c r="AF161" s="267" t="str">
        <f t="shared" si="3"/>
        <v/>
      </c>
      <c r="AG161" s="268"/>
      <c r="AH161" s="268"/>
      <c r="AI161" s="268"/>
      <c r="AJ161" s="268"/>
      <c r="AK161" s="268"/>
      <c r="AL161" s="269"/>
      <c r="AM161" s="266" t="str">
        <f>IF(中間シート!H390&lt;&gt;0,中間シート!H390,"")</f>
        <v/>
      </c>
      <c r="AN161" s="266"/>
      <c r="AO161" s="266"/>
      <c r="AP161" s="266"/>
      <c r="AQ161" s="266"/>
      <c r="AR161" s="266"/>
      <c r="AS161" s="266"/>
      <c r="AT161" s="266"/>
      <c r="AU161" s="266"/>
    </row>
    <row r="162" spans="10:49" ht="17.100000000000001" customHeight="1" x14ac:dyDescent="0.2">
      <c r="J162" s="248" t="s">
        <v>125</v>
      </c>
      <c r="K162" s="248"/>
      <c r="L162" s="248"/>
      <c r="M162" s="248"/>
      <c r="N162" s="263" t="str">
        <f>IF(中間シート!D391&lt;&gt;0,中間シート!D391,"")</f>
        <v/>
      </c>
      <c r="O162" s="264"/>
      <c r="P162" s="264"/>
      <c r="Q162" s="264"/>
      <c r="R162" s="264"/>
      <c r="S162" s="264"/>
      <c r="T162" s="264"/>
      <c r="U162" s="264"/>
      <c r="V162" s="264"/>
      <c r="W162" s="264"/>
      <c r="X162" s="264"/>
      <c r="Y162" s="264"/>
      <c r="Z162" s="264"/>
      <c r="AA162" s="264"/>
      <c r="AB162" s="264"/>
      <c r="AC162" s="264"/>
      <c r="AD162" s="264"/>
      <c r="AE162" s="265"/>
      <c r="AF162" s="267" t="str">
        <f t="shared" si="3"/>
        <v/>
      </c>
      <c r="AG162" s="268"/>
      <c r="AH162" s="268"/>
      <c r="AI162" s="268"/>
      <c r="AJ162" s="268"/>
      <c r="AK162" s="268"/>
      <c r="AL162" s="269"/>
      <c r="AM162" s="266" t="str">
        <f>IF(中間シート!H391&lt;&gt;0,中間シート!H391,"")</f>
        <v/>
      </c>
      <c r="AN162" s="266"/>
      <c r="AO162" s="266"/>
      <c r="AP162" s="266"/>
      <c r="AQ162" s="266"/>
      <c r="AR162" s="266"/>
      <c r="AS162" s="266"/>
      <c r="AT162" s="266"/>
      <c r="AU162" s="266"/>
    </row>
    <row r="163" spans="10:49" ht="17.100000000000001" customHeight="1" x14ac:dyDescent="0.2">
      <c r="J163" s="248" t="s">
        <v>126</v>
      </c>
      <c r="K163" s="248"/>
      <c r="L163" s="248"/>
      <c r="M163" s="248"/>
      <c r="N163" s="263" t="str">
        <f>IF(中間シート!D392&lt;&gt;0,中間シート!D392,"")</f>
        <v/>
      </c>
      <c r="O163" s="264"/>
      <c r="P163" s="264"/>
      <c r="Q163" s="264"/>
      <c r="R163" s="264"/>
      <c r="S163" s="264"/>
      <c r="T163" s="264"/>
      <c r="U163" s="264"/>
      <c r="V163" s="264"/>
      <c r="W163" s="264"/>
      <c r="X163" s="264"/>
      <c r="Y163" s="264"/>
      <c r="Z163" s="264"/>
      <c r="AA163" s="264"/>
      <c r="AB163" s="264"/>
      <c r="AC163" s="264"/>
      <c r="AD163" s="264"/>
      <c r="AE163" s="265"/>
      <c r="AF163" s="267" t="str">
        <f t="shared" si="3"/>
        <v/>
      </c>
      <c r="AG163" s="268"/>
      <c r="AH163" s="268"/>
      <c r="AI163" s="268"/>
      <c r="AJ163" s="268"/>
      <c r="AK163" s="268"/>
      <c r="AL163" s="269"/>
      <c r="AM163" s="266" t="str">
        <f>IF(中間シート!H392&lt;&gt;0,中間シート!H392,"")</f>
        <v/>
      </c>
      <c r="AN163" s="266"/>
      <c r="AO163" s="266"/>
      <c r="AP163" s="266"/>
      <c r="AQ163" s="266"/>
      <c r="AR163" s="266"/>
      <c r="AS163" s="266"/>
      <c r="AT163" s="266"/>
      <c r="AU163" s="266"/>
    </row>
    <row r="164" spans="10:49" ht="17.100000000000001" customHeight="1" x14ac:dyDescent="0.2">
      <c r="J164" s="248" t="s">
        <v>127</v>
      </c>
      <c r="K164" s="248"/>
      <c r="L164" s="248"/>
      <c r="M164" s="248"/>
      <c r="N164" s="263" t="str">
        <f>IF(中間シート!D393&lt;&gt;0,中間シート!D393,"")</f>
        <v/>
      </c>
      <c r="O164" s="264"/>
      <c r="P164" s="264"/>
      <c r="Q164" s="264"/>
      <c r="R164" s="264"/>
      <c r="S164" s="264"/>
      <c r="T164" s="264"/>
      <c r="U164" s="264"/>
      <c r="V164" s="264"/>
      <c r="W164" s="264"/>
      <c r="X164" s="264"/>
      <c r="Y164" s="264"/>
      <c r="Z164" s="264"/>
      <c r="AA164" s="264"/>
      <c r="AB164" s="264"/>
      <c r="AC164" s="264"/>
      <c r="AD164" s="264"/>
      <c r="AE164" s="265"/>
      <c r="AF164" s="267" t="str">
        <f t="shared" si="3"/>
        <v/>
      </c>
      <c r="AG164" s="268"/>
      <c r="AH164" s="268"/>
      <c r="AI164" s="268"/>
      <c r="AJ164" s="268"/>
      <c r="AK164" s="268"/>
      <c r="AL164" s="269"/>
      <c r="AM164" s="266" t="str">
        <f>IF(中間シート!H393&lt;&gt;0,中間シート!H393,"")</f>
        <v/>
      </c>
      <c r="AN164" s="266"/>
      <c r="AO164" s="266"/>
      <c r="AP164" s="266"/>
      <c r="AQ164" s="266"/>
      <c r="AR164" s="266"/>
      <c r="AS164" s="266"/>
      <c r="AT164" s="266"/>
      <c r="AU164" s="266"/>
    </row>
    <row r="165" spans="10:49" ht="17.100000000000001" customHeight="1" x14ac:dyDescent="0.2">
      <c r="J165" s="248" t="s">
        <v>128</v>
      </c>
      <c r="K165" s="248"/>
      <c r="L165" s="248"/>
      <c r="M165" s="248"/>
      <c r="N165" s="263" t="str">
        <f>IF(中間シート!D394&lt;&gt;0,中間シート!D394,"")</f>
        <v/>
      </c>
      <c r="O165" s="264"/>
      <c r="P165" s="264"/>
      <c r="Q165" s="264"/>
      <c r="R165" s="264"/>
      <c r="S165" s="264"/>
      <c r="T165" s="264"/>
      <c r="U165" s="264"/>
      <c r="V165" s="264"/>
      <c r="W165" s="264"/>
      <c r="X165" s="264"/>
      <c r="Y165" s="264"/>
      <c r="Z165" s="264"/>
      <c r="AA165" s="264"/>
      <c r="AB165" s="264"/>
      <c r="AC165" s="264"/>
      <c r="AD165" s="264"/>
      <c r="AE165" s="265"/>
      <c r="AF165" s="267" t="str">
        <f t="shared" si="3"/>
        <v/>
      </c>
      <c r="AG165" s="268"/>
      <c r="AH165" s="268"/>
      <c r="AI165" s="268"/>
      <c r="AJ165" s="268"/>
      <c r="AK165" s="268"/>
      <c r="AL165" s="269"/>
      <c r="AM165" s="266" t="str">
        <f>IF(中間シート!H394&lt;&gt;0,中間シート!H394,"")</f>
        <v/>
      </c>
      <c r="AN165" s="266"/>
      <c r="AO165" s="266"/>
      <c r="AP165" s="266"/>
      <c r="AQ165" s="266"/>
      <c r="AR165" s="266"/>
      <c r="AS165" s="266"/>
      <c r="AT165" s="266"/>
      <c r="AU165" s="266"/>
    </row>
    <row r="166" spans="10:49" ht="17.100000000000001" customHeight="1" x14ac:dyDescent="0.2">
      <c r="J166" s="248" t="s">
        <v>129</v>
      </c>
      <c r="K166" s="248"/>
      <c r="L166" s="248"/>
      <c r="M166" s="248"/>
      <c r="N166" s="263" t="str">
        <f>IF(中間シート!D395&lt;&gt;0,中間シート!D395,"")</f>
        <v/>
      </c>
      <c r="O166" s="264"/>
      <c r="P166" s="264"/>
      <c r="Q166" s="264"/>
      <c r="R166" s="264"/>
      <c r="S166" s="264"/>
      <c r="T166" s="264"/>
      <c r="U166" s="264"/>
      <c r="V166" s="264"/>
      <c r="W166" s="264"/>
      <c r="X166" s="264"/>
      <c r="Y166" s="264"/>
      <c r="Z166" s="264"/>
      <c r="AA166" s="264"/>
      <c r="AB166" s="264"/>
      <c r="AC166" s="264"/>
      <c r="AD166" s="264"/>
      <c r="AE166" s="265"/>
      <c r="AF166" s="267" t="str">
        <f t="shared" si="3"/>
        <v/>
      </c>
      <c r="AG166" s="268"/>
      <c r="AH166" s="268"/>
      <c r="AI166" s="268"/>
      <c r="AJ166" s="268"/>
      <c r="AK166" s="268"/>
      <c r="AL166" s="269"/>
      <c r="AM166" s="266" t="str">
        <f>IF(中間シート!H395&lt;&gt;0,中間シート!H395,"")</f>
        <v/>
      </c>
      <c r="AN166" s="266"/>
      <c r="AO166" s="266"/>
      <c r="AP166" s="266"/>
      <c r="AQ166" s="266"/>
      <c r="AR166" s="266"/>
      <c r="AS166" s="266"/>
      <c r="AT166" s="266"/>
      <c r="AU166" s="266"/>
    </row>
    <row r="167" spans="10:49" ht="17.100000000000001" customHeight="1" x14ac:dyDescent="0.2">
      <c r="J167" s="248" t="s">
        <v>130</v>
      </c>
      <c r="K167" s="248"/>
      <c r="L167" s="248"/>
      <c r="M167" s="248"/>
      <c r="N167" s="263" t="str">
        <f>IF(中間シート!D396&lt;&gt;0,中間シート!D396,"")</f>
        <v/>
      </c>
      <c r="O167" s="264"/>
      <c r="P167" s="264"/>
      <c r="Q167" s="264"/>
      <c r="R167" s="264"/>
      <c r="S167" s="264"/>
      <c r="T167" s="264"/>
      <c r="U167" s="264"/>
      <c r="V167" s="264"/>
      <c r="W167" s="264"/>
      <c r="X167" s="264"/>
      <c r="Y167" s="264"/>
      <c r="Z167" s="264"/>
      <c r="AA167" s="264"/>
      <c r="AB167" s="264"/>
      <c r="AC167" s="264"/>
      <c r="AD167" s="264"/>
      <c r="AE167" s="265"/>
      <c r="AF167" s="267" t="str">
        <f t="shared" si="3"/>
        <v/>
      </c>
      <c r="AG167" s="268"/>
      <c r="AH167" s="268"/>
      <c r="AI167" s="268"/>
      <c r="AJ167" s="268"/>
      <c r="AK167" s="268"/>
      <c r="AL167" s="269"/>
      <c r="AM167" s="266" t="str">
        <f>IF(中間シート!H396&lt;&gt;0,中間シート!H396,"")</f>
        <v/>
      </c>
      <c r="AN167" s="266"/>
      <c r="AO167" s="266"/>
      <c r="AP167" s="266"/>
      <c r="AQ167" s="266"/>
      <c r="AR167" s="266"/>
      <c r="AS167" s="266"/>
      <c r="AT167" s="266"/>
      <c r="AU167" s="266"/>
    </row>
    <row r="168" spans="10:49" ht="17.100000000000001" customHeight="1" x14ac:dyDescent="0.2">
      <c r="J168" s="248" t="s">
        <v>131</v>
      </c>
      <c r="K168" s="248"/>
      <c r="L168" s="248"/>
      <c r="M168" s="248"/>
      <c r="N168" s="263" t="str">
        <f>IF(中間シート!D397&lt;&gt;0,中間シート!D397,"")</f>
        <v/>
      </c>
      <c r="O168" s="264"/>
      <c r="P168" s="264"/>
      <c r="Q168" s="264"/>
      <c r="R168" s="264"/>
      <c r="S168" s="264"/>
      <c r="T168" s="264"/>
      <c r="U168" s="264"/>
      <c r="V168" s="264"/>
      <c r="W168" s="264"/>
      <c r="X168" s="264"/>
      <c r="Y168" s="264"/>
      <c r="Z168" s="264"/>
      <c r="AA168" s="264"/>
      <c r="AB168" s="264"/>
      <c r="AC168" s="264"/>
      <c r="AD168" s="264"/>
      <c r="AE168" s="265"/>
      <c r="AF168" s="267" t="str">
        <f t="shared" si="3"/>
        <v/>
      </c>
      <c r="AG168" s="268"/>
      <c r="AH168" s="268"/>
      <c r="AI168" s="268"/>
      <c r="AJ168" s="268"/>
      <c r="AK168" s="268"/>
      <c r="AL168" s="269"/>
      <c r="AM168" s="266" t="str">
        <f>IF(中間シート!H397&lt;&gt;0,中間シート!H397,"")</f>
        <v/>
      </c>
      <c r="AN168" s="266"/>
      <c r="AO168" s="266"/>
      <c r="AP168" s="266"/>
      <c r="AQ168" s="266"/>
      <c r="AR168" s="266"/>
      <c r="AS168" s="266"/>
      <c r="AT168" s="266"/>
      <c r="AU168" s="266"/>
    </row>
    <row r="169" spans="10:49" ht="17.100000000000001" customHeight="1" x14ac:dyDescent="0.2">
      <c r="J169" s="248" t="s">
        <v>132</v>
      </c>
      <c r="K169" s="248"/>
      <c r="L169" s="248"/>
      <c r="M169" s="248"/>
      <c r="N169" s="263" t="str">
        <f>IF(中間シート!D398&lt;&gt;0,中間シート!D398,"")</f>
        <v/>
      </c>
      <c r="O169" s="264"/>
      <c r="P169" s="264"/>
      <c r="Q169" s="264"/>
      <c r="R169" s="264"/>
      <c r="S169" s="264"/>
      <c r="T169" s="264"/>
      <c r="U169" s="264"/>
      <c r="V169" s="264"/>
      <c r="W169" s="264"/>
      <c r="X169" s="264"/>
      <c r="Y169" s="264"/>
      <c r="Z169" s="264"/>
      <c r="AA169" s="264"/>
      <c r="AB169" s="264"/>
      <c r="AC169" s="264"/>
      <c r="AD169" s="264"/>
      <c r="AE169" s="265"/>
      <c r="AF169" s="267" t="str">
        <f t="shared" si="3"/>
        <v/>
      </c>
      <c r="AG169" s="268"/>
      <c r="AH169" s="268"/>
      <c r="AI169" s="268"/>
      <c r="AJ169" s="268"/>
      <c r="AK169" s="268"/>
      <c r="AL169" s="269"/>
      <c r="AM169" s="266" t="str">
        <f>IF(中間シート!H398&lt;&gt;0,中間シート!H398,"")</f>
        <v/>
      </c>
      <c r="AN169" s="266"/>
      <c r="AO169" s="266"/>
      <c r="AP169" s="266"/>
      <c r="AQ169" s="266"/>
      <c r="AR169" s="266"/>
      <c r="AS169" s="266"/>
      <c r="AT169" s="266"/>
      <c r="AU169" s="266"/>
    </row>
    <row r="170" spans="10:49" ht="17.100000000000001" customHeight="1" x14ac:dyDescent="0.2">
      <c r="J170" s="248" t="s">
        <v>133</v>
      </c>
      <c r="K170" s="248"/>
      <c r="L170" s="248"/>
      <c r="M170" s="248"/>
      <c r="N170" s="263" t="str">
        <f>IF(中間シート!D399&lt;&gt;0,中間シート!D399,"")</f>
        <v/>
      </c>
      <c r="O170" s="264"/>
      <c r="P170" s="264"/>
      <c r="Q170" s="264"/>
      <c r="R170" s="264"/>
      <c r="S170" s="264"/>
      <c r="T170" s="264"/>
      <c r="U170" s="264"/>
      <c r="V170" s="264"/>
      <c r="W170" s="264"/>
      <c r="X170" s="264"/>
      <c r="Y170" s="264"/>
      <c r="Z170" s="264"/>
      <c r="AA170" s="264"/>
      <c r="AB170" s="264"/>
      <c r="AC170" s="264"/>
      <c r="AD170" s="264"/>
      <c r="AE170" s="265"/>
      <c r="AF170" s="267" t="str">
        <f t="shared" si="3"/>
        <v/>
      </c>
      <c r="AG170" s="268"/>
      <c r="AH170" s="268"/>
      <c r="AI170" s="268"/>
      <c r="AJ170" s="268"/>
      <c r="AK170" s="268"/>
      <c r="AL170" s="269"/>
      <c r="AM170" s="266" t="str">
        <f>IF(中間シート!H399&lt;&gt;0,中間シート!H399,"")</f>
        <v/>
      </c>
      <c r="AN170" s="266"/>
      <c r="AO170" s="266"/>
      <c r="AP170" s="266"/>
      <c r="AQ170" s="266"/>
      <c r="AR170" s="266"/>
      <c r="AS170" s="266"/>
      <c r="AT170" s="266"/>
      <c r="AU170" s="266"/>
    </row>
    <row r="171" spans="10:49" ht="17.100000000000001" customHeight="1" x14ac:dyDescent="0.2">
      <c r="J171" s="248" t="s">
        <v>134</v>
      </c>
      <c r="K171" s="248"/>
      <c r="L171" s="248"/>
      <c r="M171" s="248"/>
      <c r="N171" s="263" t="str">
        <f>IF(中間シート!D400&lt;&gt;0,中間シート!D400,"")</f>
        <v/>
      </c>
      <c r="O171" s="264"/>
      <c r="P171" s="264"/>
      <c r="Q171" s="264"/>
      <c r="R171" s="264"/>
      <c r="S171" s="264"/>
      <c r="T171" s="264"/>
      <c r="U171" s="264"/>
      <c r="V171" s="264"/>
      <c r="W171" s="264"/>
      <c r="X171" s="264"/>
      <c r="Y171" s="264"/>
      <c r="Z171" s="264"/>
      <c r="AA171" s="264"/>
      <c r="AB171" s="264"/>
      <c r="AC171" s="264"/>
      <c r="AD171" s="264"/>
      <c r="AE171" s="265"/>
      <c r="AF171" s="267" t="str">
        <f t="shared" si="3"/>
        <v/>
      </c>
      <c r="AG171" s="268"/>
      <c r="AH171" s="268"/>
      <c r="AI171" s="268"/>
      <c r="AJ171" s="268"/>
      <c r="AK171" s="268"/>
      <c r="AL171" s="269"/>
      <c r="AM171" s="266" t="str">
        <f>IF(中間シート!H400&lt;&gt;0,中間シート!H400,"")</f>
        <v/>
      </c>
      <c r="AN171" s="266"/>
      <c r="AO171" s="266"/>
      <c r="AP171" s="266"/>
      <c r="AQ171" s="266"/>
      <c r="AR171" s="266"/>
      <c r="AS171" s="266"/>
      <c r="AT171" s="266"/>
      <c r="AU171" s="266"/>
    </row>
    <row r="172" spans="10:49" ht="17.100000000000001" customHeight="1" x14ac:dyDescent="0.2">
      <c r="J172" s="248" t="s">
        <v>135</v>
      </c>
      <c r="K172" s="248"/>
      <c r="L172" s="248"/>
      <c r="M172" s="248"/>
      <c r="N172" s="263" t="str">
        <f>IF(中間シート!D401&lt;&gt;0,中間シート!D401,"")</f>
        <v/>
      </c>
      <c r="O172" s="264"/>
      <c r="P172" s="264"/>
      <c r="Q172" s="264"/>
      <c r="R172" s="264"/>
      <c r="S172" s="264"/>
      <c r="T172" s="264"/>
      <c r="U172" s="264"/>
      <c r="V172" s="264"/>
      <c r="W172" s="264"/>
      <c r="X172" s="264"/>
      <c r="Y172" s="264"/>
      <c r="Z172" s="264"/>
      <c r="AA172" s="264"/>
      <c r="AB172" s="264"/>
      <c r="AC172" s="264"/>
      <c r="AD172" s="264"/>
      <c r="AE172" s="265"/>
      <c r="AF172" s="267" t="str">
        <f t="shared" si="3"/>
        <v/>
      </c>
      <c r="AG172" s="268"/>
      <c r="AH172" s="268"/>
      <c r="AI172" s="268"/>
      <c r="AJ172" s="268"/>
      <c r="AK172" s="268"/>
      <c r="AL172" s="269"/>
      <c r="AM172" s="266" t="str">
        <f>IF(中間シート!H401&lt;&gt;0,中間シート!H401,"")</f>
        <v/>
      </c>
      <c r="AN172" s="266"/>
      <c r="AO172" s="266"/>
      <c r="AP172" s="266"/>
      <c r="AQ172" s="266"/>
      <c r="AR172" s="266"/>
      <c r="AS172" s="266"/>
      <c r="AT172" s="266"/>
      <c r="AU172" s="266"/>
    </row>
    <row r="173" spans="10:49" ht="17.100000000000001" customHeight="1" x14ac:dyDescent="0.2">
      <c r="J173" s="248" t="s">
        <v>136</v>
      </c>
      <c r="K173" s="248"/>
      <c r="L173" s="248"/>
      <c r="M173" s="248"/>
      <c r="N173" s="263" t="str">
        <f>IF(中間シート!D402&lt;&gt;0,中間シート!D402,"")</f>
        <v/>
      </c>
      <c r="O173" s="264"/>
      <c r="P173" s="264"/>
      <c r="Q173" s="264"/>
      <c r="R173" s="264"/>
      <c r="S173" s="264"/>
      <c r="T173" s="264"/>
      <c r="U173" s="264"/>
      <c r="V173" s="264"/>
      <c r="W173" s="264"/>
      <c r="X173" s="264"/>
      <c r="Y173" s="264"/>
      <c r="Z173" s="264"/>
      <c r="AA173" s="264"/>
      <c r="AB173" s="264"/>
      <c r="AC173" s="264"/>
      <c r="AD173" s="264"/>
      <c r="AE173" s="265"/>
      <c r="AF173" s="267" t="str">
        <f t="shared" si="3"/>
        <v/>
      </c>
      <c r="AG173" s="268"/>
      <c r="AH173" s="268"/>
      <c r="AI173" s="268"/>
      <c r="AJ173" s="268"/>
      <c r="AK173" s="268"/>
      <c r="AL173" s="269"/>
      <c r="AM173" s="266" t="str">
        <f>IF(中間シート!H402&lt;&gt;0,中間シート!H402,"")</f>
        <v/>
      </c>
      <c r="AN173" s="266"/>
      <c r="AO173" s="266"/>
      <c r="AP173" s="266"/>
      <c r="AQ173" s="266"/>
      <c r="AR173" s="266"/>
      <c r="AS173" s="266"/>
      <c r="AT173" s="266"/>
      <c r="AU173" s="266"/>
    </row>
    <row r="174" spans="10:49" ht="16.5" customHeight="1" x14ac:dyDescent="0.2">
      <c r="J174" s="248" t="s">
        <v>106</v>
      </c>
      <c r="K174" s="248"/>
      <c r="L174" s="248"/>
      <c r="M174" s="248"/>
      <c r="N174" s="263" t="str">
        <f>IF(N144&lt;&gt;"",SUM(N144:V173),"")</f>
        <v/>
      </c>
      <c r="O174" s="264"/>
      <c r="P174" s="264"/>
      <c r="Q174" s="264"/>
      <c r="R174" s="264"/>
      <c r="S174" s="264"/>
      <c r="T174" s="264"/>
      <c r="U174" s="264"/>
      <c r="V174" s="264"/>
      <c r="W174" s="264"/>
      <c r="X174" s="264"/>
      <c r="Y174" s="264"/>
      <c r="Z174" s="264"/>
      <c r="AA174" s="264"/>
      <c r="AB174" s="264"/>
      <c r="AC174" s="264"/>
      <c r="AD174" s="264"/>
      <c r="AE174" s="265"/>
      <c r="AF174" s="267"/>
      <c r="AG174" s="268"/>
      <c r="AH174" s="268"/>
      <c r="AI174" s="268"/>
      <c r="AJ174" s="268"/>
      <c r="AK174" s="268"/>
      <c r="AL174" s="269"/>
      <c r="AM174" s="266" t="str">
        <f>IF(AM144&lt;&gt;"",SUM(AM144:AU173),"")</f>
        <v/>
      </c>
      <c r="AN174" s="266"/>
      <c r="AO174" s="266"/>
      <c r="AP174" s="266"/>
      <c r="AQ174" s="266"/>
      <c r="AR174" s="266"/>
      <c r="AS174" s="266"/>
      <c r="AT174" s="266"/>
      <c r="AU174" s="266"/>
      <c r="AW174" s="62" t="str">
        <f>IF(SUM(中間シート!$E$281:$E$370)=0,"",IF(SUM(中間シート!$E$281:$E$370)&gt;30,"←この値を申請の補助対象経費欄に記載してください",IF(OR(SUM(中間シート!$E$281:$E$370)&gt;3,中間シート!G3&gt;=3),"←この値は使用しません。様式第１（10事業場30台）シートを参考ください！","←この値は使用しません。様式第１（通常）シートを参考ください！")))</f>
        <v/>
      </c>
    </row>
    <row r="175" spans="10:49" x14ac:dyDescent="0.2">
      <c r="J175" s="50"/>
      <c r="K175" s="50" t="s">
        <v>107</v>
      </c>
      <c r="L175" s="50"/>
      <c r="M175" s="50"/>
    </row>
    <row r="176" spans="10:49" x14ac:dyDescent="0.2">
      <c r="J176" s="53"/>
      <c r="K176" s="72" t="s">
        <v>311</v>
      </c>
      <c r="L176" s="50"/>
      <c r="M176" s="50"/>
    </row>
    <row r="177" spans="10:13" x14ac:dyDescent="0.2">
      <c r="J177" s="53"/>
      <c r="K177" s="72" t="s">
        <v>313</v>
      </c>
      <c r="L177" s="50"/>
      <c r="M177" s="50"/>
    </row>
    <row r="178" spans="10:13" x14ac:dyDescent="0.2">
      <c r="K178" s="72" t="s">
        <v>312</v>
      </c>
      <c r="M178" s="50"/>
    </row>
    <row r="179" spans="10:13" x14ac:dyDescent="0.2">
      <c r="J179" s="53"/>
      <c r="K179" s="50"/>
      <c r="L179" s="50"/>
    </row>
    <row r="180" spans="10:13" x14ac:dyDescent="0.2">
      <c r="K180" s="50"/>
      <c r="L180" s="50"/>
    </row>
  </sheetData>
  <mergeCells count="706">
    <mergeCell ref="N170:AE170"/>
    <mergeCell ref="N171:AE171"/>
    <mergeCell ref="AF159:AL159"/>
    <mergeCell ref="AF160:AL160"/>
    <mergeCell ref="N163:AE163"/>
    <mergeCell ref="N164:AE164"/>
    <mergeCell ref="N165:AE165"/>
    <mergeCell ref="N166:AE166"/>
    <mergeCell ref="N167:AE167"/>
    <mergeCell ref="N168:AE168"/>
    <mergeCell ref="N169:AE169"/>
    <mergeCell ref="N159:AE159"/>
    <mergeCell ref="N160:AE160"/>
    <mergeCell ref="N161:AE161"/>
    <mergeCell ref="N162:AE162"/>
    <mergeCell ref="AM171:AU171"/>
    <mergeCell ref="AM172:AU172"/>
    <mergeCell ref="N172:AE172"/>
    <mergeCell ref="N173:AE173"/>
    <mergeCell ref="N174:AE174"/>
    <mergeCell ref="M138:AV139"/>
    <mergeCell ref="N46:AK46"/>
    <mergeCell ref="N143:AE143"/>
    <mergeCell ref="N144:AE144"/>
    <mergeCell ref="N145:AE145"/>
    <mergeCell ref="N146:AE146"/>
    <mergeCell ref="N147:AE147"/>
    <mergeCell ref="N148:AE148"/>
    <mergeCell ref="N149:AE149"/>
    <mergeCell ref="N150:AE150"/>
    <mergeCell ref="N151:AE151"/>
    <mergeCell ref="N152:AE152"/>
    <mergeCell ref="N153:AE153"/>
    <mergeCell ref="N154:AE154"/>
    <mergeCell ref="N155:AE155"/>
    <mergeCell ref="N156:AE156"/>
    <mergeCell ref="N157:AE157"/>
    <mergeCell ref="N158:AE158"/>
    <mergeCell ref="AF158:AL158"/>
    <mergeCell ref="AF151:AL151"/>
    <mergeCell ref="AF170:AL170"/>
    <mergeCell ref="AF171:AL171"/>
    <mergeCell ref="AF172:AL172"/>
    <mergeCell ref="AM173:AU173"/>
    <mergeCell ref="AM164:AU164"/>
    <mergeCell ref="AM165:AU165"/>
    <mergeCell ref="AM166:AU166"/>
    <mergeCell ref="AM167:AU167"/>
    <mergeCell ref="AM168:AU168"/>
    <mergeCell ref="AM169:AU169"/>
    <mergeCell ref="AM158:AU158"/>
    <mergeCell ref="AM159:AU159"/>
    <mergeCell ref="AM160:AU160"/>
    <mergeCell ref="AM161:AU161"/>
    <mergeCell ref="AM162:AU162"/>
    <mergeCell ref="AM163:AU163"/>
    <mergeCell ref="AF161:AL161"/>
    <mergeCell ref="AF162:AL162"/>
    <mergeCell ref="AF163:AL163"/>
    <mergeCell ref="AF152:AL152"/>
    <mergeCell ref="AF153:AL153"/>
    <mergeCell ref="AF154:AL154"/>
    <mergeCell ref="AM170:AU170"/>
    <mergeCell ref="AF173:AL173"/>
    <mergeCell ref="AM152:AU152"/>
    <mergeCell ref="AM153:AU153"/>
    <mergeCell ref="AM154:AU154"/>
    <mergeCell ref="AM155:AU155"/>
    <mergeCell ref="AM156:AU156"/>
    <mergeCell ref="AM157:AU157"/>
    <mergeCell ref="AM146:AU146"/>
    <mergeCell ref="AM147:AU147"/>
    <mergeCell ref="AM148:AU148"/>
    <mergeCell ref="AM149:AU149"/>
    <mergeCell ref="AM150:AU150"/>
    <mergeCell ref="AM151:AU151"/>
    <mergeCell ref="AF164:AL164"/>
    <mergeCell ref="AF165:AL165"/>
    <mergeCell ref="AF166:AL166"/>
    <mergeCell ref="AF167:AL167"/>
    <mergeCell ref="AF168:AL168"/>
    <mergeCell ref="AF169:AL169"/>
    <mergeCell ref="AF146:AL146"/>
    <mergeCell ref="AF147:AL147"/>
    <mergeCell ref="AF148:AL148"/>
    <mergeCell ref="AF149:AL149"/>
    <mergeCell ref="AF150:AL150"/>
    <mergeCell ref="AB43:AP43"/>
    <mergeCell ref="AB34:AP34"/>
    <mergeCell ref="AB35:AP35"/>
    <mergeCell ref="AB36:AP36"/>
    <mergeCell ref="AB37:AP37"/>
    <mergeCell ref="AB38:AP38"/>
    <mergeCell ref="AB39:AP39"/>
    <mergeCell ref="N37:W37"/>
    <mergeCell ref="N38:W38"/>
    <mergeCell ref="N40:W40"/>
    <mergeCell ref="N41:W41"/>
    <mergeCell ref="N42:W42"/>
    <mergeCell ref="N43:W43"/>
    <mergeCell ref="Y40:AA40"/>
    <mergeCell ref="Y41:AA41"/>
    <mergeCell ref="Y42:AA42"/>
    <mergeCell ref="Y43:AA43"/>
    <mergeCell ref="Y34:AA34"/>
    <mergeCell ref="Y35:AA35"/>
    <mergeCell ref="Y36:AA36"/>
    <mergeCell ref="AF155:AL155"/>
    <mergeCell ref="AF156:AL156"/>
    <mergeCell ref="AF157:AL157"/>
    <mergeCell ref="N39:W39"/>
    <mergeCell ref="AB40:AP40"/>
    <mergeCell ref="AB41:AP41"/>
    <mergeCell ref="AB42:AP42"/>
    <mergeCell ref="Y39:AA39"/>
    <mergeCell ref="AB22:AP22"/>
    <mergeCell ref="AB23:AP23"/>
    <mergeCell ref="AB24:AP24"/>
    <mergeCell ref="AB25:AP25"/>
    <mergeCell ref="AB26:AP26"/>
    <mergeCell ref="AB27:AP27"/>
    <mergeCell ref="Y37:AA37"/>
    <mergeCell ref="Y38:AA38"/>
    <mergeCell ref="N22:W22"/>
    <mergeCell ref="N23:W23"/>
    <mergeCell ref="N24:W24"/>
    <mergeCell ref="N25:W25"/>
    <mergeCell ref="N26:W26"/>
    <mergeCell ref="N27:W27"/>
    <mergeCell ref="Y25:AA25"/>
    <mergeCell ref="Y26:AA26"/>
    <mergeCell ref="N28:W28"/>
    <mergeCell ref="N29:W29"/>
    <mergeCell ref="AB16:AP16"/>
    <mergeCell ref="AB17:AP17"/>
    <mergeCell ref="AB18:AP18"/>
    <mergeCell ref="AB19:AP19"/>
    <mergeCell ref="AB20:AP20"/>
    <mergeCell ref="AB21:AP21"/>
    <mergeCell ref="Y28:AA28"/>
    <mergeCell ref="Y29:AA29"/>
    <mergeCell ref="Y16:AA16"/>
    <mergeCell ref="Y17:AA17"/>
    <mergeCell ref="Y18:AA18"/>
    <mergeCell ref="Y19:AA19"/>
    <mergeCell ref="Y20:AA20"/>
    <mergeCell ref="Y21:AA21"/>
    <mergeCell ref="N16:W16"/>
    <mergeCell ref="N17:W17"/>
    <mergeCell ref="N18:W18"/>
    <mergeCell ref="N19:W19"/>
    <mergeCell ref="N20:W20"/>
    <mergeCell ref="N21:W21"/>
    <mergeCell ref="Y30:AA30"/>
    <mergeCell ref="Y31:AA31"/>
    <mergeCell ref="Y32:AA32"/>
    <mergeCell ref="Y33:AA33"/>
    <mergeCell ref="Y22:AA22"/>
    <mergeCell ref="Y23:AA23"/>
    <mergeCell ref="Y24:AA24"/>
    <mergeCell ref="AB28:AP28"/>
    <mergeCell ref="AB29:AP29"/>
    <mergeCell ref="AB30:AP30"/>
    <mergeCell ref="AB31:AP31"/>
    <mergeCell ref="AB32:AP32"/>
    <mergeCell ref="AB33:AP33"/>
    <mergeCell ref="Y27:AA27"/>
    <mergeCell ref="N30:W30"/>
    <mergeCell ref="N31:W31"/>
    <mergeCell ref="N32:W32"/>
    <mergeCell ref="N33:W33"/>
    <mergeCell ref="N34:W34"/>
    <mergeCell ref="N35:W35"/>
    <mergeCell ref="N36:W36"/>
    <mergeCell ref="AD132:AE132"/>
    <mergeCell ref="AD133:AE133"/>
    <mergeCell ref="AD120:AE120"/>
    <mergeCell ref="AD121:AE121"/>
    <mergeCell ref="AD122:AE122"/>
    <mergeCell ref="AD123:AE123"/>
    <mergeCell ref="AD124:AE124"/>
    <mergeCell ref="AD125:AE125"/>
    <mergeCell ref="AD114:AE114"/>
    <mergeCell ref="AD115:AE115"/>
    <mergeCell ref="AD116:AE116"/>
    <mergeCell ref="AD117:AE117"/>
    <mergeCell ref="AD118:AE118"/>
    <mergeCell ref="AD119:AE119"/>
    <mergeCell ref="AD108:AE108"/>
    <mergeCell ref="AD109:AE109"/>
    <mergeCell ref="AD110:AE110"/>
    <mergeCell ref="AD134:AE134"/>
    <mergeCell ref="AD135:AE135"/>
    <mergeCell ref="AD136:AE136"/>
    <mergeCell ref="AD126:AE126"/>
    <mergeCell ref="AD127:AE127"/>
    <mergeCell ref="AD128:AE128"/>
    <mergeCell ref="AD129:AE129"/>
    <mergeCell ref="AD130:AE130"/>
    <mergeCell ref="AD131:AE131"/>
    <mergeCell ref="AD111:AE111"/>
    <mergeCell ref="AD112:AE112"/>
    <mergeCell ref="AD113:AE113"/>
    <mergeCell ref="AD102:AE102"/>
    <mergeCell ref="AD103:AE103"/>
    <mergeCell ref="AD104:AE104"/>
    <mergeCell ref="AD105:AE105"/>
    <mergeCell ref="AD106:AE106"/>
    <mergeCell ref="AD107:AE107"/>
    <mergeCell ref="AD76:AE76"/>
    <mergeCell ref="AD77:AE77"/>
    <mergeCell ref="AD66:AE66"/>
    <mergeCell ref="AD67:AE67"/>
    <mergeCell ref="AD68:AE68"/>
    <mergeCell ref="AD69:AE69"/>
    <mergeCell ref="AD70:AE70"/>
    <mergeCell ref="AD71:AE71"/>
    <mergeCell ref="AD96:AE96"/>
    <mergeCell ref="AD84:AE84"/>
    <mergeCell ref="AD85:AE85"/>
    <mergeCell ref="AD86:AE86"/>
    <mergeCell ref="AD87:AE87"/>
    <mergeCell ref="AD88:AE88"/>
    <mergeCell ref="AD89:AE89"/>
    <mergeCell ref="AD80:AE80"/>
    <mergeCell ref="AD81:AE81"/>
    <mergeCell ref="AD82:AE82"/>
    <mergeCell ref="AD83:AE83"/>
    <mergeCell ref="AD72:AE72"/>
    <mergeCell ref="AD73:AE73"/>
    <mergeCell ref="AD74:AE74"/>
    <mergeCell ref="AD75:AE75"/>
    <mergeCell ref="AD97:AE97"/>
    <mergeCell ref="AD98:AE98"/>
    <mergeCell ref="AD99:AE99"/>
    <mergeCell ref="AD100:AE100"/>
    <mergeCell ref="AD101:AE101"/>
    <mergeCell ref="AD90:AE90"/>
    <mergeCell ref="AD91:AE91"/>
    <mergeCell ref="AD92:AE92"/>
    <mergeCell ref="AD93:AE93"/>
    <mergeCell ref="AD94:AE94"/>
    <mergeCell ref="AD95:AE95"/>
    <mergeCell ref="W132:AC132"/>
    <mergeCell ref="W133:AC133"/>
    <mergeCell ref="W134:AC134"/>
    <mergeCell ref="W135:AC135"/>
    <mergeCell ref="W136:AC136"/>
    <mergeCell ref="AD49:AE49"/>
    <mergeCell ref="AD50:AE50"/>
    <mergeCell ref="AD51:AE51"/>
    <mergeCell ref="AD52:AE52"/>
    <mergeCell ref="AD53:AE53"/>
    <mergeCell ref="AD60:AE60"/>
    <mergeCell ref="AD61:AE61"/>
    <mergeCell ref="AD62:AE62"/>
    <mergeCell ref="AD63:AE63"/>
    <mergeCell ref="AD64:AE64"/>
    <mergeCell ref="AD65:AE65"/>
    <mergeCell ref="AD54:AE54"/>
    <mergeCell ref="AD55:AE55"/>
    <mergeCell ref="AD56:AE56"/>
    <mergeCell ref="AD57:AE57"/>
    <mergeCell ref="AD58:AE58"/>
    <mergeCell ref="AD59:AE59"/>
    <mergeCell ref="AD78:AE78"/>
    <mergeCell ref="AD79:AE79"/>
    <mergeCell ref="W126:AC126"/>
    <mergeCell ref="W127:AC127"/>
    <mergeCell ref="W128:AC128"/>
    <mergeCell ref="W129:AC129"/>
    <mergeCell ref="W130:AC130"/>
    <mergeCell ref="W131:AC131"/>
    <mergeCell ref="W120:AC120"/>
    <mergeCell ref="W121:AC121"/>
    <mergeCell ref="W122:AC122"/>
    <mergeCell ref="W123:AC123"/>
    <mergeCell ref="W124:AC124"/>
    <mergeCell ref="W125:AC125"/>
    <mergeCell ref="W114:AC114"/>
    <mergeCell ref="W115:AC115"/>
    <mergeCell ref="W116:AC116"/>
    <mergeCell ref="W117:AC117"/>
    <mergeCell ref="W118:AC118"/>
    <mergeCell ref="W119:AC119"/>
    <mergeCell ref="W108:AC108"/>
    <mergeCell ref="W109:AC109"/>
    <mergeCell ref="W110:AC110"/>
    <mergeCell ref="W111:AC111"/>
    <mergeCell ref="W112:AC112"/>
    <mergeCell ref="W113:AC113"/>
    <mergeCell ref="W102:AC102"/>
    <mergeCell ref="W103:AC103"/>
    <mergeCell ref="W104:AC104"/>
    <mergeCell ref="W105:AC105"/>
    <mergeCell ref="W106:AC106"/>
    <mergeCell ref="W107:AC107"/>
    <mergeCell ref="W96:AC96"/>
    <mergeCell ref="W97:AC97"/>
    <mergeCell ref="W98:AC98"/>
    <mergeCell ref="W99:AC99"/>
    <mergeCell ref="W100:AC100"/>
    <mergeCell ref="W101:AC101"/>
    <mergeCell ref="W90:AC90"/>
    <mergeCell ref="W91:AC91"/>
    <mergeCell ref="W92:AC92"/>
    <mergeCell ref="W93:AC93"/>
    <mergeCell ref="W94:AC94"/>
    <mergeCell ref="W95:AC95"/>
    <mergeCell ref="W84:AC84"/>
    <mergeCell ref="W85:AC85"/>
    <mergeCell ref="W86:AC86"/>
    <mergeCell ref="W87:AC87"/>
    <mergeCell ref="W88:AC88"/>
    <mergeCell ref="W89:AC89"/>
    <mergeCell ref="W78:AC78"/>
    <mergeCell ref="W79:AC79"/>
    <mergeCell ref="W80:AC80"/>
    <mergeCell ref="W81:AC81"/>
    <mergeCell ref="W82:AC82"/>
    <mergeCell ref="W83:AC83"/>
    <mergeCell ref="W54:AC54"/>
    <mergeCell ref="W55:AC55"/>
    <mergeCell ref="W56:AC56"/>
    <mergeCell ref="W57:AC57"/>
    <mergeCell ref="W58:AC58"/>
    <mergeCell ref="W59:AC59"/>
    <mergeCell ref="W76:AC76"/>
    <mergeCell ref="W77:AC77"/>
    <mergeCell ref="W49:AC49"/>
    <mergeCell ref="W50:AC50"/>
    <mergeCell ref="W51:AC51"/>
    <mergeCell ref="W52:AC52"/>
    <mergeCell ref="W53:AC53"/>
    <mergeCell ref="W72:AC72"/>
    <mergeCell ref="W73:AC73"/>
    <mergeCell ref="W74:AC74"/>
    <mergeCell ref="W75:AC75"/>
    <mergeCell ref="W66:AC66"/>
    <mergeCell ref="W67:AC67"/>
    <mergeCell ref="W68:AC68"/>
    <mergeCell ref="W69:AC69"/>
    <mergeCell ref="W70:AC70"/>
    <mergeCell ref="W71:AC71"/>
    <mergeCell ref="W60:AC60"/>
    <mergeCell ref="W61:AC61"/>
    <mergeCell ref="W62:AC62"/>
    <mergeCell ref="W63:AC63"/>
    <mergeCell ref="W64:AC64"/>
    <mergeCell ref="W65:AC65"/>
    <mergeCell ref="U132:V132"/>
    <mergeCell ref="U133:V133"/>
    <mergeCell ref="U134:V134"/>
    <mergeCell ref="U135:V135"/>
    <mergeCell ref="U136:V136"/>
    <mergeCell ref="U126:V126"/>
    <mergeCell ref="U127:V127"/>
    <mergeCell ref="U128:V128"/>
    <mergeCell ref="U129:V129"/>
    <mergeCell ref="U130:V130"/>
    <mergeCell ref="U131:V131"/>
    <mergeCell ref="U120:V120"/>
    <mergeCell ref="U121:V121"/>
    <mergeCell ref="U122:V122"/>
    <mergeCell ref="U123:V123"/>
    <mergeCell ref="U124:V124"/>
    <mergeCell ref="U125:V125"/>
    <mergeCell ref="U114:V114"/>
    <mergeCell ref="U115:V115"/>
    <mergeCell ref="U116:V116"/>
    <mergeCell ref="U117:V117"/>
    <mergeCell ref="U118:V118"/>
    <mergeCell ref="U119:V119"/>
    <mergeCell ref="U108:V108"/>
    <mergeCell ref="U109:V109"/>
    <mergeCell ref="U110:V110"/>
    <mergeCell ref="U111:V111"/>
    <mergeCell ref="U112:V112"/>
    <mergeCell ref="U113:V113"/>
    <mergeCell ref="U102:V102"/>
    <mergeCell ref="U103:V103"/>
    <mergeCell ref="U104:V104"/>
    <mergeCell ref="U105:V105"/>
    <mergeCell ref="U106:V106"/>
    <mergeCell ref="U107:V107"/>
    <mergeCell ref="U76:V76"/>
    <mergeCell ref="U77:V77"/>
    <mergeCell ref="U66:V66"/>
    <mergeCell ref="U67:V67"/>
    <mergeCell ref="U68:V68"/>
    <mergeCell ref="U69:V69"/>
    <mergeCell ref="U70:V70"/>
    <mergeCell ref="U71:V71"/>
    <mergeCell ref="U96:V96"/>
    <mergeCell ref="U84:V84"/>
    <mergeCell ref="U85:V85"/>
    <mergeCell ref="U86:V86"/>
    <mergeCell ref="U87:V87"/>
    <mergeCell ref="U88:V88"/>
    <mergeCell ref="U89:V89"/>
    <mergeCell ref="U80:V80"/>
    <mergeCell ref="U81:V81"/>
    <mergeCell ref="U82:V82"/>
    <mergeCell ref="U83:V83"/>
    <mergeCell ref="U72:V72"/>
    <mergeCell ref="U73:V73"/>
    <mergeCell ref="U74:V74"/>
    <mergeCell ref="U75:V75"/>
    <mergeCell ref="U97:V97"/>
    <mergeCell ref="U98:V98"/>
    <mergeCell ref="U99:V99"/>
    <mergeCell ref="U100:V100"/>
    <mergeCell ref="U101:V101"/>
    <mergeCell ref="U90:V90"/>
    <mergeCell ref="U91:V91"/>
    <mergeCell ref="U92:V92"/>
    <mergeCell ref="U93:V93"/>
    <mergeCell ref="U94:V94"/>
    <mergeCell ref="U95:V95"/>
    <mergeCell ref="N132:T132"/>
    <mergeCell ref="N133:T133"/>
    <mergeCell ref="N134:T134"/>
    <mergeCell ref="N135:T135"/>
    <mergeCell ref="N136:T136"/>
    <mergeCell ref="U49:V49"/>
    <mergeCell ref="U50:V50"/>
    <mergeCell ref="U51:V51"/>
    <mergeCell ref="U52:V52"/>
    <mergeCell ref="U53:V53"/>
    <mergeCell ref="U60:V60"/>
    <mergeCell ref="U61:V61"/>
    <mergeCell ref="U62:V62"/>
    <mergeCell ref="U63:V63"/>
    <mergeCell ref="U64:V64"/>
    <mergeCell ref="U65:V65"/>
    <mergeCell ref="U54:V54"/>
    <mergeCell ref="U55:V55"/>
    <mergeCell ref="U56:V56"/>
    <mergeCell ref="U57:V57"/>
    <mergeCell ref="U58:V58"/>
    <mergeCell ref="U59:V59"/>
    <mergeCell ref="U78:V78"/>
    <mergeCell ref="U79:V79"/>
    <mergeCell ref="N126:T126"/>
    <mergeCell ref="N127:T127"/>
    <mergeCell ref="N128:T128"/>
    <mergeCell ref="N129:T129"/>
    <mergeCell ref="N130:T130"/>
    <mergeCell ref="N131:T131"/>
    <mergeCell ref="N120:T120"/>
    <mergeCell ref="N121:T121"/>
    <mergeCell ref="N122:T122"/>
    <mergeCell ref="N123:T123"/>
    <mergeCell ref="N124:T124"/>
    <mergeCell ref="N125:T125"/>
    <mergeCell ref="N114:T114"/>
    <mergeCell ref="N115:T115"/>
    <mergeCell ref="N116:T116"/>
    <mergeCell ref="N117:T117"/>
    <mergeCell ref="N118:T118"/>
    <mergeCell ref="N119:T119"/>
    <mergeCell ref="N108:T108"/>
    <mergeCell ref="N109:T109"/>
    <mergeCell ref="N110:T110"/>
    <mergeCell ref="N111:T111"/>
    <mergeCell ref="N112:T112"/>
    <mergeCell ref="N113:T113"/>
    <mergeCell ref="N102:T102"/>
    <mergeCell ref="N103:T103"/>
    <mergeCell ref="N104:T104"/>
    <mergeCell ref="N105:T105"/>
    <mergeCell ref="N106:T106"/>
    <mergeCell ref="N107:T107"/>
    <mergeCell ref="N96:T96"/>
    <mergeCell ref="N97:T97"/>
    <mergeCell ref="N98:T98"/>
    <mergeCell ref="N99:T99"/>
    <mergeCell ref="N100:T100"/>
    <mergeCell ref="N101:T101"/>
    <mergeCell ref="N60:T60"/>
    <mergeCell ref="N61:T61"/>
    <mergeCell ref="N62:T62"/>
    <mergeCell ref="N63:T63"/>
    <mergeCell ref="N64:T64"/>
    <mergeCell ref="N65:T65"/>
    <mergeCell ref="N90:T90"/>
    <mergeCell ref="N91:T91"/>
    <mergeCell ref="N92:T92"/>
    <mergeCell ref="N78:T78"/>
    <mergeCell ref="N79:T79"/>
    <mergeCell ref="N80:T80"/>
    <mergeCell ref="N81:T81"/>
    <mergeCell ref="N82:T82"/>
    <mergeCell ref="N83:T83"/>
    <mergeCell ref="N72:T72"/>
    <mergeCell ref="N73:T73"/>
    <mergeCell ref="N74:T74"/>
    <mergeCell ref="N75:T75"/>
    <mergeCell ref="N76:T76"/>
    <mergeCell ref="N77:T77"/>
    <mergeCell ref="N66:T66"/>
    <mergeCell ref="N67:T67"/>
    <mergeCell ref="N68:T68"/>
    <mergeCell ref="N93:T93"/>
    <mergeCell ref="N94:T94"/>
    <mergeCell ref="N95:T95"/>
    <mergeCell ref="N84:T84"/>
    <mergeCell ref="N85:T85"/>
    <mergeCell ref="N86:T86"/>
    <mergeCell ref="N87:T87"/>
    <mergeCell ref="N88:T88"/>
    <mergeCell ref="N89:T89"/>
    <mergeCell ref="N54:T54"/>
    <mergeCell ref="N55:T55"/>
    <mergeCell ref="N56:T56"/>
    <mergeCell ref="N57:T57"/>
    <mergeCell ref="N58:T58"/>
    <mergeCell ref="N59:T59"/>
    <mergeCell ref="N49:T49"/>
    <mergeCell ref="N50:T50"/>
    <mergeCell ref="N51:T51"/>
    <mergeCell ref="N52:T52"/>
    <mergeCell ref="N53:T53"/>
    <mergeCell ref="N69:T69"/>
    <mergeCell ref="N70:T70"/>
    <mergeCell ref="N71:T71"/>
    <mergeCell ref="J171:M171"/>
    <mergeCell ref="J172:M172"/>
    <mergeCell ref="J173:M173"/>
    <mergeCell ref="J165:M165"/>
    <mergeCell ref="J166:M166"/>
    <mergeCell ref="J167:M167"/>
    <mergeCell ref="J168:M168"/>
    <mergeCell ref="J110:M110"/>
    <mergeCell ref="J111:M111"/>
    <mergeCell ref="J112:M112"/>
    <mergeCell ref="J113:M113"/>
    <mergeCell ref="J102:M102"/>
    <mergeCell ref="J103:M103"/>
    <mergeCell ref="J157:M157"/>
    <mergeCell ref="J158:M158"/>
    <mergeCell ref="J91:M91"/>
    <mergeCell ref="J99:M99"/>
    <mergeCell ref="J100:M100"/>
    <mergeCell ref="J101:M101"/>
    <mergeCell ref="J92:M92"/>
    <mergeCell ref="J93:M93"/>
    <mergeCell ref="J60:M60"/>
    <mergeCell ref="J85:M85"/>
    <mergeCell ref="J86:M86"/>
    <mergeCell ref="J87:M87"/>
    <mergeCell ref="J88:M88"/>
    <mergeCell ref="J89:M89"/>
    <mergeCell ref="J90:M90"/>
    <mergeCell ref="J79:M79"/>
    <mergeCell ref="J80:M80"/>
    <mergeCell ref="J81:M81"/>
    <mergeCell ref="J82:M82"/>
    <mergeCell ref="J83:M83"/>
    <mergeCell ref="J84:M84"/>
    <mergeCell ref="J73:M73"/>
    <mergeCell ref="J74:M74"/>
    <mergeCell ref="J75:M75"/>
    <mergeCell ref="J76:M76"/>
    <mergeCell ref="J77:M77"/>
    <mergeCell ref="J78:M78"/>
    <mergeCell ref="J132:M132"/>
    <mergeCell ref="J133:M133"/>
    <mergeCell ref="J94:M94"/>
    <mergeCell ref="J95:M95"/>
    <mergeCell ref="J96:M96"/>
    <mergeCell ref="J97:M97"/>
    <mergeCell ref="J114:M114"/>
    <mergeCell ref="J115:M115"/>
    <mergeCell ref="J116:M116"/>
    <mergeCell ref="J117:M117"/>
    <mergeCell ref="J118:M118"/>
    <mergeCell ref="J129:M129"/>
    <mergeCell ref="J130:M130"/>
    <mergeCell ref="J131:M131"/>
    <mergeCell ref="J120:M120"/>
    <mergeCell ref="J121:M121"/>
    <mergeCell ref="J122:M122"/>
    <mergeCell ref="J123:M123"/>
    <mergeCell ref="J124:M124"/>
    <mergeCell ref="J125:M125"/>
    <mergeCell ref="J134:M134"/>
    <mergeCell ref="J135:M135"/>
    <mergeCell ref="J136:M136"/>
    <mergeCell ref="J126:M126"/>
    <mergeCell ref="J127:M127"/>
    <mergeCell ref="J128:M128"/>
    <mergeCell ref="J19:M19"/>
    <mergeCell ref="J20:M20"/>
    <mergeCell ref="J21:M21"/>
    <mergeCell ref="J22:M22"/>
    <mergeCell ref="J41:M41"/>
    <mergeCell ref="J42:M42"/>
    <mergeCell ref="J43:M43"/>
    <mergeCell ref="J35:M35"/>
    <mergeCell ref="J36:M36"/>
    <mergeCell ref="J37:M37"/>
    <mergeCell ref="J38:M38"/>
    <mergeCell ref="J119:M119"/>
    <mergeCell ref="J108:M108"/>
    <mergeCell ref="J109:M109"/>
    <mergeCell ref="J104:M104"/>
    <mergeCell ref="J105:M105"/>
    <mergeCell ref="J106:M106"/>
    <mergeCell ref="J107:M107"/>
    <mergeCell ref="J164:M164"/>
    <mergeCell ref="J154:M154"/>
    <mergeCell ref="J152:M152"/>
    <mergeCell ref="J153:M153"/>
    <mergeCell ref="J24:M24"/>
    <mergeCell ref="J25:M25"/>
    <mergeCell ref="J26:M26"/>
    <mergeCell ref="J27:M27"/>
    <mergeCell ref="J28:M28"/>
    <mergeCell ref="J29:M29"/>
    <mergeCell ref="J30:M30"/>
    <mergeCell ref="J46:M46"/>
    <mergeCell ref="J67:M67"/>
    <mergeCell ref="J68:M68"/>
    <mergeCell ref="J69:M69"/>
    <mergeCell ref="J70:M70"/>
    <mergeCell ref="J71:M71"/>
    <mergeCell ref="J98:M98"/>
    <mergeCell ref="J49:M49"/>
    <mergeCell ref="J50:M50"/>
    <mergeCell ref="J51:M51"/>
    <mergeCell ref="J52:M52"/>
    <mergeCell ref="J53:M53"/>
    <mergeCell ref="J40:M40"/>
    <mergeCell ref="J58:M58"/>
    <mergeCell ref="J59:M59"/>
    <mergeCell ref="J174:M174"/>
    <mergeCell ref="AF174:AL174"/>
    <mergeCell ref="AM174:AU174"/>
    <mergeCell ref="J144:M144"/>
    <mergeCell ref="AF144:AL144"/>
    <mergeCell ref="AM144:AU144"/>
    <mergeCell ref="J145:M145"/>
    <mergeCell ref="AF145:AL145"/>
    <mergeCell ref="AM145:AU145"/>
    <mergeCell ref="J146:M146"/>
    <mergeCell ref="J147:M147"/>
    <mergeCell ref="J148:M148"/>
    <mergeCell ref="J149:M149"/>
    <mergeCell ref="J150:M150"/>
    <mergeCell ref="J151:M151"/>
    <mergeCell ref="J169:M169"/>
    <mergeCell ref="J170:M170"/>
    <mergeCell ref="J159:M159"/>
    <mergeCell ref="J160:M160"/>
    <mergeCell ref="J161:M161"/>
    <mergeCell ref="J162:M162"/>
    <mergeCell ref="J163:M163"/>
    <mergeCell ref="J33:M33"/>
    <mergeCell ref="J34:M34"/>
    <mergeCell ref="J39:M39"/>
    <mergeCell ref="J155:M155"/>
    <mergeCell ref="J156:M156"/>
    <mergeCell ref="J143:M143"/>
    <mergeCell ref="AF143:AL143"/>
    <mergeCell ref="AM143:AU143"/>
    <mergeCell ref="J54:M54"/>
    <mergeCell ref="J48:M48"/>
    <mergeCell ref="N48:T48"/>
    <mergeCell ref="U48:V48"/>
    <mergeCell ref="W48:AC48"/>
    <mergeCell ref="AD48:AE48"/>
    <mergeCell ref="J72:M72"/>
    <mergeCell ref="J61:M61"/>
    <mergeCell ref="J62:M62"/>
    <mergeCell ref="J63:M63"/>
    <mergeCell ref="J64:M64"/>
    <mergeCell ref="J65:M65"/>
    <mergeCell ref="J66:M66"/>
    <mergeCell ref="J55:M55"/>
    <mergeCell ref="J56:M56"/>
    <mergeCell ref="J57:M57"/>
    <mergeCell ref="J16:M16"/>
    <mergeCell ref="J17:M17"/>
    <mergeCell ref="J18:M18"/>
    <mergeCell ref="J9:M13"/>
    <mergeCell ref="N9:W13"/>
    <mergeCell ref="X9:AP13"/>
    <mergeCell ref="X3:AH3"/>
    <mergeCell ref="X4:AH4"/>
    <mergeCell ref="J47:M47"/>
    <mergeCell ref="N47:T47"/>
    <mergeCell ref="U47:V47"/>
    <mergeCell ref="W47:AC47"/>
    <mergeCell ref="AD47:AE47"/>
    <mergeCell ref="J14:M14"/>
    <mergeCell ref="N14:W14"/>
    <mergeCell ref="Y14:AA14"/>
    <mergeCell ref="AB14:AP14"/>
    <mergeCell ref="J15:M15"/>
    <mergeCell ref="N15:W15"/>
    <mergeCell ref="Y15:AA15"/>
    <mergeCell ref="AB15:AP15"/>
    <mergeCell ref="J23:M23"/>
    <mergeCell ref="J31:M31"/>
    <mergeCell ref="J32:M32"/>
  </mergeCells>
  <phoneticPr fontId="6"/>
  <pageMargins left="0.98425196850393704" right="0.70866141732283472" top="0.6889763779527559" bottom="0.6889763779527559" header="0.31496062992125984" footer="0.31496062992125984"/>
  <pageSetup paperSize="9" scale="96" fitToWidth="0" fitToHeight="0" orientation="portrait" r:id="rId1"/>
  <rowBreaks count="1" manualBreakCount="1">
    <brk id="5" max="16383" man="1"/>
  </rowBreaks>
  <extLst>
    <ext xmlns:x14="http://schemas.microsoft.com/office/spreadsheetml/2009/9/main" uri="{78C0D931-6437-407d-A8EE-F0AAD7539E65}">
      <x14:conditionalFormattings>
        <x14:conditionalFormatting xmlns:xm="http://schemas.microsoft.com/office/excel/2006/main">
          <x14:cfRule type="containsText" priority="3" operator="containsText" id="{61FE2D14-4C3A-46EF-B16D-F64DC58EF963}">
            <xm:f>NOT(ISERROR(SEARCH("-",Y14)))</xm:f>
            <xm:f>"-"</xm:f>
            <x14:dxf>
              <font>
                <b/>
                <i val="0"/>
              </font>
            </x14:dxf>
          </x14:cfRule>
          <xm:sqref>Y14:Y43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2:L92"/>
  <sheetViews>
    <sheetView workbookViewId="0">
      <selection activeCell="G24" sqref="G24"/>
    </sheetView>
  </sheetViews>
  <sheetFormatPr defaultRowHeight="13.2" x14ac:dyDescent="0.2"/>
  <cols>
    <col min="2" max="2" width="20.88671875" customWidth="1"/>
    <col min="3" max="3" width="5" customWidth="1"/>
    <col min="4" max="4" width="20.88671875" customWidth="1"/>
    <col min="5" max="5" width="5" customWidth="1"/>
    <col min="6" max="6" width="20.88671875" customWidth="1"/>
    <col min="7" max="7" width="5" customWidth="1"/>
    <col min="8" max="8" width="20.88671875" customWidth="1"/>
    <col min="9" max="9" width="5" customWidth="1"/>
    <col min="10" max="10" width="10.21875" customWidth="1"/>
    <col min="12" max="12" width="31.6640625" bestFit="1" customWidth="1"/>
  </cols>
  <sheetData>
    <row r="2" spans="1:12" x14ac:dyDescent="0.2">
      <c r="A2" s="68" t="s">
        <v>293</v>
      </c>
      <c r="B2" s="67" t="s">
        <v>298</v>
      </c>
      <c r="C2" s="67" t="s">
        <v>299</v>
      </c>
      <c r="D2" s="67" t="s">
        <v>300</v>
      </c>
      <c r="E2" s="67" t="s">
        <v>301</v>
      </c>
      <c r="F2" s="67" t="s">
        <v>302</v>
      </c>
      <c r="G2" s="67" t="s">
        <v>303</v>
      </c>
      <c r="H2" s="67" t="s">
        <v>304</v>
      </c>
      <c r="I2" s="67" t="s">
        <v>305</v>
      </c>
      <c r="J2" s="67" t="s">
        <v>295</v>
      </c>
      <c r="K2" s="5" t="s">
        <v>296</v>
      </c>
      <c r="L2" s="5" t="s">
        <v>297</v>
      </c>
    </row>
    <row r="3" spans="1:12" x14ac:dyDescent="0.2">
      <c r="A3" s="63"/>
      <c r="B3" s="5" t="str">
        <f>'様式第1（30事業場90台）'!N47</f>
        <v/>
      </c>
      <c r="C3" s="5" t="str">
        <f>'様式第1（30事業場90台）'!U47</f>
        <v>-</v>
      </c>
      <c r="D3" s="5" t="str">
        <f>'様式第1（30事業場90台）'!W47</f>
        <v/>
      </c>
      <c r="E3" s="5" t="str">
        <f>'様式第1（30事業場90台）'!AD47</f>
        <v>-</v>
      </c>
      <c r="F3" s="5" t="str">
        <f>'様式第1（30事業場90台）'!AF47</f>
        <v/>
      </c>
      <c r="G3" s="5">
        <f>'様式第1（30事業場90台）'!AL47</f>
        <v>0</v>
      </c>
      <c r="H3" s="5">
        <f>'様式第1（30事業場90台）'!AN47</f>
        <v>0</v>
      </c>
      <c r="I3" s="5">
        <f>'様式第1（30事業場90台）'!AT47</f>
        <v>0</v>
      </c>
      <c r="J3" s="5">
        <f>'様式第1（30事業場90台）'!AV47</f>
        <v>0</v>
      </c>
      <c r="K3" s="5" t="str">
        <f>IF(A3="","",VLOOKUP('様式第1（30事業場90台）'!$J47,'様式第1（30事業場90台）'!$J$14:$AP$43,5,FALSE))</f>
        <v/>
      </c>
      <c r="L3" s="5" t="str">
        <f>IF(A3="","",VLOOKUP('様式第1（30事業場90台）'!$J47,'様式第1（30事業場90台）'!$J$14:$AP$43,19,FALSE))</f>
        <v/>
      </c>
    </row>
    <row r="4" spans="1:12" x14ac:dyDescent="0.2">
      <c r="A4" s="5" t="str">
        <f>IF(B4&lt;&gt;"",$A$3,"")</f>
        <v/>
      </c>
      <c r="B4" s="5" t="str">
        <f>IF('様式第1（30事業場90台）'!N48="","",'様式第1（30事業場90台）'!N48)</f>
        <v/>
      </c>
      <c r="C4" s="5" t="str">
        <f>IF('様式第1（30事業場90台）'!U48="","",'様式第1（30事業場90台）'!U48)</f>
        <v>-</v>
      </c>
      <c r="D4" s="5" t="str">
        <f>IF('様式第1（30事業場90台）'!W48="","",'様式第1（30事業場90台）'!W48)</f>
        <v/>
      </c>
      <c r="E4" s="5" t="str">
        <f>IF('様式第1（30事業場90台）'!AD48="","",'様式第1（30事業場90台）'!AD48)</f>
        <v>-</v>
      </c>
      <c r="F4" s="5" t="str">
        <f>IF('様式第1（30事業場90台）'!AF48="","",'様式第1（30事業場90台）'!AF48)</f>
        <v/>
      </c>
      <c r="G4" s="5" t="str">
        <f>IF('様式第1（30事業場90台）'!AL48="","",'様式第1（30事業場90台）'!AL48)</f>
        <v/>
      </c>
      <c r="H4" s="5" t="str">
        <f>IF('様式第1（30事業場90台）'!AN48="","",'様式第1（30事業場90台）'!AN48)</f>
        <v/>
      </c>
      <c r="I4" s="5" t="str">
        <f>IF('様式第1（30事業場90台）'!AT48="","",'様式第1（30事業場90台）'!AT48)</f>
        <v/>
      </c>
      <c r="J4" s="5">
        <f>'様式第1（30事業場90台）'!AV48</f>
        <v>0</v>
      </c>
      <c r="K4" s="5" t="str">
        <f>IF(A4="","",VLOOKUP('様式第1（30事業場90台）'!$J48,'様式第1（30事業場90台）'!$J$14:$AP$43,5,FALSE))</f>
        <v/>
      </c>
      <c r="L4" s="5" t="str">
        <f>IF(A4="","",VLOOKUP('様式第1（30事業場90台）'!$J48,'様式第1（30事業場90台）'!$J$14:$AP$43,19,FALSE))</f>
        <v/>
      </c>
    </row>
    <row r="5" spans="1:12" x14ac:dyDescent="0.2">
      <c r="A5" s="5" t="str">
        <f t="shared" ref="A5:A68" si="0">IF(B5&lt;&gt;"",$A$3,"")</f>
        <v/>
      </c>
      <c r="B5" s="5" t="str">
        <f>IF('様式第1（30事業場90台）'!N49="","",'様式第1（30事業場90台）'!N49)</f>
        <v/>
      </c>
      <c r="C5" s="5" t="str">
        <f>IF('様式第1（30事業場90台）'!U49="","",'様式第1（30事業場90台）'!U49)</f>
        <v>-</v>
      </c>
      <c r="D5" s="5" t="str">
        <f>IF('様式第1（30事業場90台）'!W49="","",'様式第1（30事業場90台）'!W49)</f>
        <v/>
      </c>
      <c r="E5" s="5" t="str">
        <f>IF('様式第1（30事業場90台）'!AD49="","",'様式第1（30事業場90台）'!AD49)</f>
        <v>-</v>
      </c>
      <c r="F5" s="5" t="str">
        <f>IF('様式第1（30事業場90台）'!AF49="","",'様式第1（30事業場90台）'!AF49)</f>
        <v/>
      </c>
      <c r="G5" s="5" t="str">
        <f>IF('様式第1（30事業場90台）'!AL49="","",'様式第1（30事業場90台）'!AL49)</f>
        <v/>
      </c>
      <c r="H5" s="5" t="str">
        <f>IF('様式第1（30事業場90台）'!AN49="","",'様式第1（30事業場90台）'!AN49)</f>
        <v/>
      </c>
      <c r="I5" s="5" t="str">
        <f>IF('様式第1（30事業場90台）'!AT49="","",'様式第1（30事業場90台）'!AT49)</f>
        <v/>
      </c>
      <c r="J5" s="5">
        <f>'様式第1（30事業場90台）'!AV49</f>
        <v>0</v>
      </c>
      <c r="K5" s="5" t="str">
        <f>IF(A5="","",VLOOKUP('様式第1（30事業場90台）'!$J49,'様式第1（30事業場90台）'!$J$14:$AP$43,5,FALSE))</f>
        <v/>
      </c>
      <c r="L5" s="5" t="str">
        <f>IF(A5="","",VLOOKUP('様式第1（30事業場90台）'!$J49,'様式第1（30事業場90台）'!$J$14:$AP$43,19,FALSE))</f>
        <v/>
      </c>
    </row>
    <row r="6" spans="1:12" x14ac:dyDescent="0.2">
      <c r="A6" s="5" t="str">
        <f t="shared" si="0"/>
        <v/>
      </c>
      <c r="B6" s="5" t="str">
        <f>IF('様式第1（30事業場90台）'!N50="","",'様式第1（30事業場90台）'!N50)</f>
        <v/>
      </c>
      <c r="C6" s="5" t="str">
        <f>IF('様式第1（30事業場90台）'!U50="","",'様式第1（30事業場90台）'!U50)</f>
        <v>-</v>
      </c>
      <c r="D6" s="5" t="str">
        <f>IF('様式第1（30事業場90台）'!W50="","",'様式第1（30事業場90台）'!W50)</f>
        <v/>
      </c>
      <c r="E6" s="5" t="str">
        <f>IF('様式第1（30事業場90台）'!AD50="","",'様式第1（30事業場90台）'!AD50)</f>
        <v>-</v>
      </c>
      <c r="F6" s="5" t="str">
        <f>IF('様式第1（30事業場90台）'!AF50="","",'様式第1（30事業場90台）'!AF50)</f>
        <v/>
      </c>
      <c r="G6" s="5" t="str">
        <f>IF('様式第1（30事業場90台）'!AL50="","",'様式第1（30事業場90台）'!AL50)</f>
        <v/>
      </c>
      <c r="H6" s="5" t="str">
        <f>IF('様式第1（30事業場90台）'!AN50="","",'様式第1（30事業場90台）'!AN50)</f>
        <v/>
      </c>
      <c r="I6" s="5" t="str">
        <f>IF('様式第1（30事業場90台）'!AT50="","",'様式第1（30事業場90台）'!AT50)</f>
        <v/>
      </c>
      <c r="J6" s="5">
        <f>'様式第1（30事業場90台）'!AV50</f>
        <v>0</v>
      </c>
      <c r="K6" s="5" t="str">
        <f>IF(A6="","",VLOOKUP('様式第1（30事業場90台）'!$J50,'様式第1（30事業場90台）'!$J$14:$AP$43,5,FALSE))</f>
        <v/>
      </c>
      <c r="L6" s="5" t="str">
        <f>IF(A6="","",VLOOKUP('様式第1（30事業場90台）'!$J50,'様式第1（30事業場90台）'!$J$14:$AP$43,19,FALSE))</f>
        <v/>
      </c>
    </row>
    <row r="7" spans="1:12" x14ac:dyDescent="0.2">
      <c r="A7" s="5" t="str">
        <f t="shared" si="0"/>
        <v/>
      </c>
      <c r="B7" s="5" t="str">
        <f>IF('様式第1（30事業場90台）'!N51="","",'様式第1（30事業場90台）'!N51)</f>
        <v/>
      </c>
      <c r="C7" s="5" t="str">
        <f>IF('様式第1（30事業場90台）'!U51="","",'様式第1（30事業場90台）'!U51)</f>
        <v>-</v>
      </c>
      <c r="D7" s="5" t="str">
        <f>IF('様式第1（30事業場90台）'!W51="","",'様式第1（30事業場90台）'!W51)</f>
        <v/>
      </c>
      <c r="E7" s="5" t="str">
        <f>IF('様式第1（30事業場90台）'!AD51="","",'様式第1（30事業場90台）'!AD51)</f>
        <v>-</v>
      </c>
      <c r="F7" s="5" t="str">
        <f>IF('様式第1（30事業場90台）'!AF51="","",'様式第1（30事業場90台）'!AF51)</f>
        <v/>
      </c>
      <c r="G7" s="5" t="str">
        <f>IF('様式第1（30事業場90台）'!AL51="","",'様式第1（30事業場90台）'!AL51)</f>
        <v/>
      </c>
      <c r="H7" s="5" t="str">
        <f>IF('様式第1（30事業場90台）'!AN51="","",'様式第1（30事業場90台）'!AN51)</f>
        <v/>
      </c>
      <c r="I7" s="5" t="str">
        <f>IF('様式第1（30事業場90台）'!AT51="","",'様式第1（30事業場90台）'!AT51)</f>
        <v/>
      </c>
      <c r="J7" s="5">
        <f>'様式第1（30事業場90台）'!AV51</f>
        <v>0</v>
      </c>
      <c r="K7" s="5" t="str">
        <f>IF(A7="","",VLOOKUP('様式第1（30事業場90台）'!$J51,'様式第1（30事業場90台）'!$J$14:$AP$43,5,FALSE))</f>
        <v/>
      </c>
      <c r="L7" s="5" t="str">
        <f>IF(A7="","",VLOOKUP('様式第1（30事業場90台）'!$J51,'様式第1（30事業場90台）'!$J$14:$AP$43,19,FALSE))</f>
        <v/>
      </c>
    </row>
    <row r="8" spans="1:12" x14ac:dyDescent="0.2">
      <c r="A8" s="5" t="str">
        <f t="shared" si="0"/>
        <v/>
      </c>
      <c r="B8" s="5" t="str">
        <f>IF('様式第1（30事業場90台）'!N52="","",'様式第1（30事業場90台）'!N52)</f>
        <v/>
      </c>
      <c r="C8" s="5" t="str">
        <f>IF('様式第1（30事業場90台）'!U52="","",'様式第1（30事業場90台）'!U52)</f>
        <v>-</v>
      </c>
      <c r="D8" s="5" t="str">
        <f>IF('様式第1（30事業場90台）'!W52="","",'様式第1（30事業場90台）'!W52)</f>
        <v/>
      </c>
      <c r="E8" s="5" t="str">
        <f>IF('様式第1（30事業場90台）'!AD52="","",'様式第1（30事業場90台）'!AD52)</f>
        <v>-</v>
      </c>
      <c r="F8" s="5" t="str">
        <f>IF('様式第1（30事業場90台）'!AF52="","",'様式第1（30事業場90台）'!AF52)</f>
        <v/>
      </c>
      <c r="G8" s="5" t="str">
        <f>IF('様式第1（30事業場90台）'!AL52="","",'様式第1（30事業場90台）'!AL52)</f>
        <v/>
      </c>
      <c r="H8" s="5" t="str">
        <f>IF('様式第1（30事業場90台）'!AN52="","",'様式第1（30事業場90台）'!AN52)</f>
        <v/>
      </c>
      <c r="I8" s="5" t="str">
        <f>IF('様式第1（30事業場90台）'!AT52="","",'様式第1（30事業場90台）'!AT52)</f>
        <v/>
      </c>
      <c r="J8" s="5">
        <f>'様式第1（30事業場90台）'!AV52</f>
        <v>0</v>
      </c>
      <c r="K8" s="5" t="str">
        <f>IF(A8="","",VLOOKUP('様式第1（30事業場90台）'!$J52,'様式第1（30事業場90台）'!$J$14:$AP$43,5,FALSE))</f>
        <v/>
      </c>
      <c r="L8" s="5" t="str">
        <f>IF(A8="","",VLOOKUP('様式第1（30事業場90台）'!$J52,'様式第1（30事業場90台）'!$J$14:$AP$43,19,FALSE))</f>
        <v/>
      </c>
    </row>
    <row r="9" spans="1:12" x14ac:dyDescent="0.2">
      <c r="A9" s="5" t="str">
        <f t="shared" si="0"/>
        <v/>
      </c>
      <c r="B9" s="5" t="str">
        <f>IF('様式第1（30事業場90台）'!N53="","",'様式第1（30事業場90台）'!N53)</f>
        <v/>
      </c>
      <c r="C9" s="5" t="str">
        <f>IF('様式第1（30事業場90台）'!U53="","",'様式第1（30事業場90台）'!U53)</f>
        <v>-</v>
      </c>
      <c r="D9" s="5" t="str">
        <f>IF('様式第1（30事業場90台）'!W53="","",'様式第1（30事業場90台）'!W53)</f>
        <v/>
      </c>
      <c r="E9" s="5" t="str">
        <f>IF('様式第1（30事業場90台）'!AD53="","",'様式第1（30事業場90台）'!AD53)</f>
        <v>-</v>
      </c>
      <c r="F9" s="5" t="str">
        <f>IF('様式第1（30事業場90台）'!AF53="","",'様式第1（30事業場90台）'!AF53)</f>
        <v/>
      </c>
      <c r="G9" s="5" t="str">
        <f>IF('様式第1（30事業場90台）'!AL53="","",'様式第1（30事業場90台）'!AL53)</f>
        <v/>
      </c>
      <c r="H9" s="5" t="str">
        <f>IF('様式第1（30事業場90台）'!AN53="","",'様式第1（30事業場90台）'!AN53)</f>
        <v/>
      </c>
      <c r="I9" s="5" t="str">
        <f>IF('様式第1（30事業場90台）'!AT53="","",'様式第1（30事業場90台）'!AT53)</f>
        <v/>
      </c>
      <c r="J9" s="5">
        <f>'様式第1（30事業場90台）'!AV53</f>
        <v>0</v>
      </c>
      <c r="K9" s="5" t="str">
        <f>IF(A9="","",VLOOKUP('様式第1（30事業場90台）'!$J53,'様式第1（30事業場90台）'!$J$14:$AP$43,5,FALSE))</f>
        <v/>
      </c>
      <c r="L9" s="5" t="str">
        <f>IF(A9="","",VLOOKUP('様式第1（30事業場90台）'!$J53,'様式第1（30事業場90台）'!$J$14:$AP$43,19,FALSE))</f>
        <v/>
      </c>
    </row>
    <row r="10" spans="1:12" x14ac:dyDescent="0.2">
      <c r="A10" s="5" t="str">
        <f t="shared" si="0"/>
        <v/>
      </c>
      <c r="B10" s="5" t="str">
        <f>IF('様式第1（30事業場90台）'!N54="","",'様式第1（30事業場90台）'!N54)</f>
        <v/>
      </c>
      <c r="C10" s="5" t="str">
        <f>IF('様式第1（30事業場90台）'!U54="","",'様式第1（30事業場90台）'!U54)</f>
        <v>-</v>
      </c>
      <c r="D10" s="5" t="str">
        <f>IF('様式第1（30事業場90台）'!W54="","",'様式第1（30事業場90台）'!W54)</f>
        <v/>
      </c>
      <c r="E10" s="5" t="str">
        <f>IF('様式第1（30事業場90台）'!AD54="","",'様式第1（30事業場90台）'!AD54)</f>
        <v>-</v>
      </c>
      <c r="F10" s="5" t="str">
        <f>IF('様式第1（30事業場90台）'!AF54="","",'様式第1（30事業場90台）'!AF54)</f>
        <v/>
      </c>
      <c r="G10" s="5" t="str">
        <f>IF('様式第1（30事業場90台）'!AL54="","",'様式第1（30事業場90台）'!AL54)</f>
        <v/>
      </c>
      <c r="H10" s="5" t="str">
        <f>IF('様式第1（30事業場90台）'!AN54="","",'様式第1（30事業場90台）'!AN54)</f>
        <v/>
      </c>
      <c r="I10" s="5" t="str">
        <f>IF('様式第1（30事業場90台）'!AT54="","",'様式第1（30事業場90台）'!AT54)</f>
        <v/>
      </c>
      <c r="J10" s="5">
        <f>'様式第1（30事業場90台）'!AV54</f>
        <v>0</v>
      </c>
      <c r="K10" s="5" t="str">
        <f>IF(A10="","",VLOOKUP('様式第1（30事業場90台）'!$J54,'様式第1（30事業場90台）'!$J$14:$AP$43,5,FALSE))</f>
        <v/>
      </c>
      <c r="L10" s="5" t="str">
        <f>IF(A10="","",VLOOKUP('様式第1（30事業場90台）'!$J54,'様式第1（30事業場90台）'!$J$14:$AP$43,19,FALSE))</f>
        <v/>
      </c>
    </row>
    <row r="11" spans="1:12" x14ac:dyDescent="0.2">
      <c r="A11" s="5" t="str">
        <f t="shared" si="0"/>
        <v/>
      </c>
      <c r="B11" s="5" t="str">
        <f>IF('様式第1（30事業場90台）'!N55="","",'様式第1（30事業場90台）'!N55)</f>
        <v/>
      </c>
      <c r="C11" s="5" t="str">
        <f>IF('様式第1（30事業場90台）'!U55="","",'様式第1（30事業場90台）'!U55)</f>
        <v>-</v>
      </c>
      <c r="D11" s="5" t="str">
        <f>IF('様式第1（30事業場90台）'!W55="","",'様式第1（30事業場90台）'!W55)</f>
        <v/>
      </c>
      <c r="E11" s="5" t="str">
        <f>IF('様式第1（30事業場90台）'!AD55="","",'様式第1（30事業場90台）'!AD55)</f>
        <v>-</v>
      </c>
      <c r="F11" s="5" t="str">
        <f>IF('様式第1（30事業場90台）'!AF55="","",'様式第1（30事業場90台）'!AF55)</f>
        <v/>
      </c>
      <c r="G11" s="5" t="str">
        <f>IF('様式第1（30事業場90台）'!AL55="","",'様式第1（30事業場90台）'!AL55)</f>
        <v/>
      </c>
      <c r="H11" s="5" t="str">
        <f>IF('様式第1（30事業場90台）'!AN55="","",'様式第1（30事業場90台）'!AN55)</f>
        <v/>
      </c>
      <c r="I11" s="5" t="str">
        <f>IF('様式第1（30事業場90台）'!AT55="","",'様式第1（30事業場90台）'!AT55)</f>
        <v/>
      </c>
      <c r="J11" s="5">
        <f>'様式第1（30事業場90台）'!AV55</f>
        <v>0</v>
      </c>
      <c r="K11" s="5" t="str">
        <f>IF(A11="","",VLOOKUP('様式第1（30事業場90台）'!$J55,'様式第1（30事業場90台）'!$J$14:$AP$43,5,FALSE))</f>
        <v/>
      </c>
      <c r="L11" s="5" t="str">
        <f>IF(A11="","",VLOOKUP('様式第1（30事業場90台）'!$J55,'様式第1（30事業場90台）'!$J$14:$AP$43,19,FALSE))</f>
        <v/>
      </c>
    </row>
    <row r="12" spans="1:12" x14ac:dyDescent="0.2">
      <c r="A12" s="5" t="str">
        <f t="shared" si="0"/>
        <v/>
      </c>
      <c r="B12" s="5" t="str">
        <f>IF('様式第1（30事業場90台）'!N56="","",'様式第1（30事業場90台）'!N56)</f>
        <v/>
      </c>
      <c r="C12" s="5" t="str">
        <f>IF('様式第1（30事業場90台）'!U56="","",'様式第1（30事業場90台）'!U56)</f>
        <v>-</v>
      </c>
      <c r="D12" s="5" t="str">
        <f>IF('様式第1（30事業場90台）'!W56="","",'様式第1（30事業場90台）'!W56)</f>
        <v/>
      </c>
      <c r="E12" s="5" t="str">
        <f>IF('様式第1（30事業場90台）'!AD56="","",'様式第1（30事業場90台）'!AD56)</f>
        <v>-</v>
      </c>
      <c r="F12" s="5" t="str">
        <f>IF('様式第1（30事業場90台）'!AF56="","",'様式第1（30事業場90台）'!AF56)</f>
        <v/>
      </c>
      <c r="G12" s="5" t="str">
        <f>IF('様式第1（30事業場90台）'!AL56="","",'様式第1（30事業場90台）'!AL56)</f>
        <v/>
      </c>
      <c r="H12" s="5" t="str">
        <f>IF('様式第1（30事業場90台）'!AN56="","",'様式第1（30事業場90台）'!AN56)</f>
        <v/>
      </c>
      <c r="I12" s="5" t="str">
        <f>IF('様式第1（30事業場90台）'!AT56="","",'様式第1（30事業場90台）'!AT56)</f>
        <v/>
      </c>
      <c r="J12" s="5">
        <f>'様式第1（30事業場90台）'!AV56</f>
        <v>0</v>
      </c>
      <c r="K12" s="5" t="str">
        <f>IF(A12="","",VLOOKUP('様式第1（30事業場90台）'!$J56,'様式第1（30事業場90台）'!$J$14:$AP$43,5,FALSE))</f>
        <v/>
      </c>
      <c r="L12" s="5" t="str">
        <f>IF(A12="","",VLOOKUP('様式第1（30事業場90台）'!$J56,'様式第1（30事業場90台）'!$J$14:$AP$43,19,FALSE))</f>
        <v/>
      </c>
    </row>
    <row r="13" spans="1:12" x14ac:dyDescent="0.2">
      <c r="A13" s="5" t="str">
        <f t="shared" si="0"/>
        <v/>
      </c>
      <c r="B13" s="5" t="str">
        <f>IF('様式第1（30事業場90台）'!N57="","",'様式第1（30事業場90台）'!N57)</f>
        <v/>
      </c>
      <c r="C13" s="5" t="str">
        <f>IF('様式第1（30事業場90台）'!U57="","",'様式第1（30事業場90台）'!U57)</f>
        <v>-</v>
      </c>
      <c r="D13" s="5" t="str">
        <f>IF('様式第1（30事業場90台）'!W57="","",'様式第1（30事業場90台）'!W57)</f>
        <v/>
      </c>
      <c r="E13" s="5" t="str">
        <f>IF('様式第1（30事業場90台）'!AD57="","",'様式第1（30事業場90台）'!AD57)</f>
        <v>-</v>
      </c>
      <c r="F13" s="5" t="str">
        <f>IF('様式第1（30事業場90台）'!AF57="","",'様式第1（30事業場90台）'!AF57)</f>
        <v/>
      </c>
      <c r="G13" s="5" t="str">
        <f>IF('様式第1（30事業場90台）'!AL57="","",'様式第1（30事業場90台）'!AL57)</f>
        <v/>
      </c>
      <c r="H13" s="5" t="str">
        <f>IF('様式第1（30事業場90台）'!AN57="","",'様式第1（30事業場90台）'!AN57)</f>
        <v/>
      </c>
      <c r="I13" s="5" t="str">
        <f>IF('様式第1（30事業場90台）'!AT57="","",'様式第1（30事業場90台）'!AT57)</f>
        <v/>
      </c>
      <c r="J13" s="5">
        <f>'様式第1（30事業場90台）'!AV57</f>
        <v>0</v>
      </c>
      <c r="K13" s="5" t="str">
        <f>IF(A13="","",VLOOKUP('様式第1（30事業場90台）'!$J57,'様式第1（30事業場90台）'!$J$14:$AP$43,5,FALSE))</f>
        <v/>
      </c>
      <c r="L13" s="5" t="str">
        <f>IF(A13="","",VLOOKUP('様式第1（30事業場90台）'!$J57,'様式第1（30事業場90台）'!$J$14:$AP$43,19,FALSE))</f>
        <v/>
      </c>
    </row>
    <row r="14" spans="1:12" x14ac:dyDescent="0.2">
      <c r="A14" s="5" t="str">
        <f t="shared" si="0"/>
        <v/>
      </c>
      <c r="B14" s="5" t="str">
        <f>IF('様式第1（30事業場90台）'!N58="","",'様式第1（30事業場90台）'!N58)</f>
        <v/>
      </c>
      <c r="C14" s="5" t="str">
        <f>IF('様式第1（30事業場90台）'!U58="","",'様式第1（30事業場90台）'!U58)</f>
        <v>-</v>
      </c>
      <c r="D14" s="5" t="str">
        <f>IF('様式第1（30事業場90台）'!W58="","",'様式第1（30事業場90台）'!W58)</f>
        <v/>
      </c>
      <c r="E14" s="5" t="str">
        <f>IF('様式第1（30事業場90台）'!AD58="","",'様式第1（30事業場90台）'!AD58)</f>
        <v>-</v>
      </c>
      <c r="F14" s="5" t="str">
        <f>IF('様式第1（30事業場90台）'!AF58="","",'様式第1（30事業場90台）'!AF58)</f>
        <v/>
      </c>
      <c r="G14" s="5" t="str">
        <f>IF('様式第1（30事業場90台）'!AL58="","",'様式第1（30事業場90台）'!AL58)</f>
        <v/>
      </c>
      <c r="H14" s="5" t="str">
        <f>IF('様式第1（30事業場90台）'!AN58="","",'様式第1（30事業場90台）'!AN58)</f>
        <v/>
      </c>
      <c r="I14" s="5" t="str">
        <f>IF('様式第1（30事業場90台）'!AT58="","",'様式第1（30事業場90台）'!AT58)</f>
        <v/>
      </c>
      <c r="J14" s="5">
        <f>'様式第1（30事業場90台）'!AV58</f>
        <v>0</v>
      </c>
      <c r="K14" s="5" t="str">
        <f>IF(A14="","",VLOOKUP('様式第1（30事業場90台）'!$J58,'様式第1（30事業場90台）'!$J$14:$AP$43,5,FALSE))</f>
        <v/>
      </c>
      <c r="L14" s="5" t="str">
        <f>IF(A14="","",VLOOKUP('様式第1（30事業場90台）'!$J58,'様式第1（30事業場90台）'!$J$14:$AP$43,19,FALSE))</f>
        <v/>
      </c>
    </row>
    <row r="15" spans="1:12" x14ac:dyDescent="0.2">
      <c r="A15" s="5" t="str">
        <f t="shared" si="0"/>
        <v/>
      </c>
      <c r="B15" s="5" t="str">
        <f>IF('様式第1（30事業場90台）'!N59="","",'様式第1（30事業場90台）'!N59)</f>
        <v/>
      </c>
      <c r="C15" s="5" t="str">
        <f>IF('様式第1（30事業場90台）'!U59="","",'様式第1（30事業場90台）'!U59)</f>
        <v>-</v>
      </c>
      <c r="D15" s="5" t="str">
        <f>IF('様式第1（30事業場90台）'!W59="","",'様式第1（30事業場90台）'!W59)</f>
        <v/>
      </c>
      <c r="E15" s="5" t="str">
        <f>IF('様式第1（30事業場90台）'!AD59="","",'様式第1（30事業場90台）'!AD59)</f>
        <v>-</v>
      </c>
      <c r="F15" s="5" t="str">
        <f>IF('様式第1（30事業場90台）'!AF59="","",'様式第1（30事業場90台）'!AF59)</f>
        <v/>
      </c>
      <c r="G15" s="5" t="str">
        <f>IF('様式第1（30事業場90台）'!AL59="","",'様式第1（30事業場90台）'!AL59)</f>
        <v/>
      </c>
      <c r="H15" s="5" t="str">
        <f>IF('様式第1（30事業場90台）'!AN59="","",'様式第1（30事業場90台）'!AN59)</f>
        <v/>
      </c>
      <c r="I15" s="5" t="str">
        <f>IF('様式第1（30事業場90台）'!AT59="","",'様式第1（30事業場90台）'!AT59)</f>
        <v/>
      </c>
      <c r="J15" s="5">
        <f>'様式第1（30事業場90台）'!AV59</f>
        <v>0</v>
      </c>
      <c r="K15" s="5" t="str">
        <f>IF(A15="","",VLOOKUP('様式第1（30事業場90台）'!$J59,'様式第1（30事業場90台）'!$J$14:$AP$43,5,FALSE))</f>
        <v/>
      </c>
      <c r="L15" s="5" t="str">
        <f>IF(A15="","",VLOOKUP('様式第1（30事業場90台）'!$J59,'様式第1（30事業場90台）'!$J$14:$AP$43,19,FALSE))</f>
        <v/>
      </c>
    </row>
    <row r="16" spans="1:12" x14ac:dyDescent="0.2">
      <c r="A16" s="5" t="str">
        <f t="shared" si="0"/>
        <v/>
      </c>
      <c r="B16" s="5" t="str">
        <f>IF('様式第1（30事業場90台）'!N60="","",'様式第1（30事業場90台）'!N60)</f>
        <v/>
      </c>
      <c r="C16" s="5" t="str">
        <f>IF('様式第1（30事業場90台）'!U60="","",'様式第1（30事業場90台）'!U60)</f>
        <v>-</v>
      </c>
      <c r="D16" s="5" t="str">
        <f>IF('様式第1（30事業場90台）'!W60="","",'様式第1（30事業場90台）'!W60)</f>
        <v/>
      </c>
      <c r="E16" s="5" t="str">
        <f>IF('様式第1（30事業場90台）'!AD60="","",'様式第1（30事業場90台）'!AD60)</f>
        <v>-</v>
      </c>
      <c r="F16" s="5" t="str">
        <f>IF('様式第1（30事業場90台）'!AF60="","",'様式第1（30事業場90台）'!AF60)</f>
        <v/>
      </c>
      <c r="G16" s="5" t="str">
        <f>IF('様式第1（30事業場90台）'!AL60="","",'様式第1（30事業場90台）'!AL60)</f>
        <v/>
      </c>
      <c r="H16" s="5" t="str">
        <f>IF('様式第1（30事業場90台）'!AN60="","",'様式第1（30事業場90台）'!AN60)</f>
        <v/>
      </c>
      <c r="I16" s="5" t="str">
        <f>IF('様式第1（30事業場90台）'!AT60="","",'様式第1（30事業場90台）'!AT60)</f>
        <v/>
      </c>
      <c r="J16" s="5">
        <f>'様式第1（30事業場90台）'!AV60</f>
        <v>0</v>
      </c>
      <c r="K16" s="5" t="str">
        <f>IF(A16="","",VLOOKUP('様式第1（30事業場90台）'!$J60,'様式第1（30事業場90台）'!$J$14:$AP$43,5,FALSE))</f>
        <v/>
      </c>
      <c r="L16" s="5" t="str">
        <f>IF(A16="","",VLOOKUP('様式第1（30事業場90台）'!$J60,'様式第1（30事業場90台）'!$J$14:$AP$43,19,FALSE))</f>
        <v/>
      </c>
    </row>
    <row r="17" spans="1:12" x14ac:dyDescent="0.2">
      <c r="A17" s="5" t="str">
        <f t="shared" si="0"/>
        <v/>
      </c>
      <c r="B17" s="5" t="str">
        <f>IF('様式第1（30事業場90台）'!N61="","",'様式第1（30事業場90台）'!N61)</f>
        <v/>
      </c>
      <c r="C17" s="5" t="str">
        <f>IF('様式第1（30事業場90台）'!U61="","",'様式第1（30事業場90台）'!U61)</f>
        <v>-</v>
      </c>
      <c r="D17" s="5" t="str">
        <f>IF('様式第1（30事業場90台）'!W61="","",'様式第1（30事業場90台）'!W61)</f>
        <v/>
      </c>
      <c r="E17" s="5" t="str">
        <f>IF('様式第1（30事業場90台）'!AD61="","",'様式第1（30事業場90台）'!AD61)</f>
        <v>-</v>
      </c>
      <c r="F17" s="5" t="str">
        <f>IF('様式第1（30事業場90台）'!AF61="","",'様式第1（30事業場90台）'!AF61)</f>
        <v/>
      </c>
      <c r="G17" s="5" t="str">
        <f>IF('様式第1（30事業場90台）'!AL61="","",'様式第1（30事業場90台）'!AL61)</f>
        <v/>
      </c>
      <c r="H17" s="5" t="str">
        <f>IF('様式第1（30事業場90台）'!AN61="","",'様式第1（30事業場90台）'!AN61)</f>
        <v/>
      </c>
      <c r="I17" s="5" t="str">
        <f>IF('様式第1（30事業場90台）'!AT61="","",'様式第1（30事業場90台）'!AT61)</f>
        <v/>
      </c>
      <c r="J17" s="5">
        <f>'様式第1（30事業場90台）'!AV61</f>
        <v>0</v>
      </c>
      <c r="K17" s="5" t="str">
        <f>IF(A17="","",VLOOKUP('様式第1（30事業場90台）'!$J61,'様式第1（30事業場90台）'!$J$14:$AP$43,5,FALSE))</f>
        <v/>
      </c>
      <c r="L17" s="5" t="str">
        <f>IF(A17="","",VLOOKUP('様式第1（30事業場90台）'!$J61,'様式第1（30事業場90台）'!$J$14:$AP$43,19,FALSE))</f>
        <v/>
      </c>
    </row>
    <row r="18" spans="1:12" x14ac:dyDescent="0.2">
      <c r="A18" s="5" t="str">
        <f t="shared" si="0"/>
        <v/>
      </c>
      <c r="B18" s="5" t="str">
        <f>IF('様式第1（30事業場90台）'!N62="","",'様式第1（30事業場90台）'!N62)</f>
        <v/>
      </c>
      <c r="C18" s="5" t="str">
        <f>IF('様式第1（30事業場90台）'!U62="","",'様式第1（30事業場90台）'!U62)</f>
        <v>-</v>
      </c>
      <c r="D18" s="5" t="str">
        <f>IF('様式第1（30事業場90台）'!W62="","",'様式第1（30事業場90台）'!W62)</f>
        <v/>
      </c>
      <c r="E18" s="5" t="str">
        <f>IF('様式第1（30事業場90台）'!AD62="","",'様式第1（30事業場90台）'!AD62)</f>
        <v>-</v>
      </c>
      <c r="F18" s="5" t="str">
        <f>IF('様式第1（30事業場90台）'!AF62="","",'様式第1（30事業場90台）'!AF62)</f>
        <v/>
      </c>
      <c r="G18" s="5" t="str">
        <f>IF('様式第1（30事業場90台）'!AL62="","",'様式第1（30事業場90台）'!AL62)</f>
        <v/>
      </c>
      <c r="H18" s="5" t="str">
        <f>IF('様式第1（30事業場90台）'!AN62="","",'様式第1（30事業場90台）'!AN62)</f>
        <v/>
      </c>
      <c r="I18" s="5" t="str">
        <f>IF('様式第1（30事業場90台）'!AT62="","",'様式第1（30事業場90台）'!AT62)</f>
        <v/>
      </c>
      <c r="J18" s="5">
        <f>'様式第1（30事業場90台）'!AV62</f>
        <v>0</v>
      </c>
      <c r="K18" s="5" t="str">
        <f>IF(A18="","",VLOOKUP('様式第1（30事業場90台）'!$J62,'様式第1（30事業場90台）'!$J$14:$AP$43,5,FALSE))</f>
        <v/>
      </c>
      <c r="L18" s="5" t="str">
        <f>IF(A18="","",VLOOKUP('様式第1（30事業場90台）'!$J62,'様式第1（30事業場90台）'!$J$14:$AP$43,19,FALSE))</f>
        <v/>
      </c>
    </row>
    <row r="19" spans="1:12" x14ac:dyDescent="0.2">
      <c r="A19" s="5" t="str">
        <f t="shared" si="0"/>
        <v/>
      </c>
      <c r="B19" s="5" t="str">
        <f>IF('様式第1（30事業場90台）'!N63="","",'様式第1（30事業場90台）'!N63)</f>
        <v/>
      </c>
      <c r="C19" s="5" t="str">
        <f>IF('様式第1（30事業場90台）'!U63="","",'様式第1（30事業場90台）'!U63)</f>
        <v>-</v>
      </c>
      <c r="D19" s="5" t="str">
        <f>IF('様式第1（30事業場90台）'!W63="","",'様式第1（30事業場90台）'!W63)</f>
        <v/>
      </c>
      <c r="E19" s="5" t="str">
        <f>IF('様式第1（30事業場90台）'!AD63="","",'様式第1（30事業場90台）'!AD63)</f>
        <v>-</v>
      </c>
      <c r="F19" s="5" t="str">
        <f>IF('様式第1（30事業場90台）'!AF63="","",'様式第1（30事業場90台）'!AF63)</f>
        <v/>
      </c>
      <c r="G19" s="5" t="str">
        <f>IF('様式第1（30事業場90台）'!AL63="","",'様式第1（30事業場90台）'!AL63)</f>
        <v/>
      </c>
      <c r="H19" s="5" t="str">
        <f>IF('様式第1（30事業場90台）'!AN63="","",'様式第1（30事業場90台）'!AN63)</f>
        <v/>
      </c>
      <c r="I19" s="5" t="str">
        <f>IF('様式第1（30事業場90台）'!AT63="","",'様式第1（30事業場90台）'!AT63)</f>
        <v/>
      </c>
      <c r="J19" s="5">
        <f>'様式第1（30事業場90台）'!AV63</f>
        <v>0</v>
      </c>
      <c r="K19" s="5" t="str">
        <f>IF(A19="","",VLOOKUP('様式第1（30事業場90台）'!$J63,'様式第1（30事業場90台）'!$J$14:$AP$43,5,FALSE))</f>
        <v/>
      </c>
      <c r="L19" s="5" t="str">
        <f>IF(A19="","",VLOOKUP('様式第1（30事業場90台）'!$J63,'様式第1（30事業場90台）'!$J$14:$AP$43,19,FALSE))</f>
        <v/>
      </c>
    </row>
    <row r="20" spans="1:12" x14ac:dyDescent="0.2">
      <c r="A20" s="5" t="str">
        <f t="shared" si="0"/>
        <v/>
      </c>
      <c r="B20" s="5" t="str">
        <f>IF('様式第1（30事業場90台）'!N64="","",'様式第1（30事業場90台）'!N64)</f>
        <v/>
      </c>
      <c r="C20" s="5" t="str">
        <f>IF('様式第1（30事業場90台）'!U64="","",'様式第1（30事業場90台）'!U64)</f>
        <v>-</v>
      </c>
      <c r="D20" s="5" t="str">
        <f>IF('様式第1（30事業場90台）'!W64="","",'様式第1（30事業場90台）'!W64)</f>
        <v/>
      </c>
      <c r="E20" s="5" t="str">
        <f>IF('様式第1（30事業場90台）'!AD64="","",'様式第1（30事業場90台）'!AD64)</f>
        <v>-</v>
      </c>
      <c r="F20" s="5" t="str">
        <f>IF('様式第1（30事業場90台）'!AF64="","",'様式第1（30事業場90台）'!AF64)</f>
        <v/>
      </c>
      <c r="G20" s="5" t="str">
        <f>IF('様式第1（30事業場90台）'!AL64="","",'様式第1（30事業場90台）'!AL64)</f>
        <v/>
      </c>
      <c r="H20" s="5" t="str">
        <f>IF('様式第1（30事業場90台）'!AN64="","",'様式第1（30事業場90台）'!AN64)</f>
        <v/>
      </c>
      <c r="I20" s="5" t="str">
        <f>IF('様式第1（30事業場90台）'!AT64="","",'様式第1（30事業場90台）'!AT64)</f>
        <v/>
      </c>
      <c r="J20" s="5">
        <f>'様式第1（30事業場90台）'!AV64</f>
        <v>0</v>
      </c>
      <c r="K20" s="5" t="str">
        <f>IF(A20="","",VLOOKUP('様式第1（30事業場90台）'!$J64,'様式第1（30事業場90台）'!$J$14:$AP$43,5,FALSE))</f>
        <v/>
      </c>
      <c r="L20" s="5" t="str">
        <f>IF(A20="","",VLOOKUP('様式第1（30事業場90台）'!$J64,'様式第1（30事業場90台）'!$J$14:$AP$43,19,FALSE))</f>
        <v/>
      </c>
    </row>
    <row r="21" spans="1:12" x14ac:dyDescent="0.2">
      <c r="A21" s="5" t="str">
        <f t="shared" si="0"/>
        <v/>
      </c>
      <c r="B21" s="5" t="str">
        <f>IF('様式第1（30事業場90台）'!N65="","",'様式第1（30事業場90台）'!N65)</f>
        <v/>
      </c>
      <c r="C21" s="5" t="str">
        <f>IF('様式第1（30事業場90台）'!U65="","",'様式第1（30事業場90台）'!U65)</f>
        <v>-</v>
      </c>
      <c r="D21" s="5" t="str">
        <f>IF('様式第1（30事業場90台）'!W65="","",'様式第1（30事業場90台）'!W65)</f>
        <v/>
      </c>
      <c r="E21" s="5" t="str">
        <f>IF('様式第1（30事業場90台）'!AD65="","",'様式第1（30事業場90台）'!AD65)</f>
        <v>-</v>
      </c>
      <c r="F21" s="5" t="str">
        <f>IF('様式第1（30事業場90台）'!AF65="","",'様式第1（30事業場90台）'!AF65)</f>
        <v/>
      </c>
      <c r="G21" s="5" t="str">
        <f>IF('様式第1（30事業場90台）'!AL65="","",'様式第1（30事業場90台）'!AL65)</f>
        <v/>
      </c>
      <c r="H21" s="5" t="str">
        <f>IF('様式第1（30事業場90台）'!AN65="","",'様式第1（30事業場90台）'!AN65)</f>
        <v/>
      </c>
      <c r="I21" s="5" t="str">
        <f>IF('様式第1（30事業場90台）'!AT65="","",'様式第1（30事業場90台）'!AT65)</f>
        <v/>
      </c>
      <c r="J21" s="5">
        <f>'様式第1（30事業場90台）'!AV65</f>
        <v>0</v>
      </c>
      <c r="K21" s="5" t="str">
        <f>IF(A21="","",VLOOKUP('様式第1（30事業場90台）'!$J65,'様式第1（30事業場90台）'!$J$14:$AP$43,5,FALSE))</f>
        <v/>
      </c>
      <c r="L21" s="5" t="str">
        <f>IF(A21="","",VLOOKUP('様式第1（30事業場90台）'!$J65,'様式第1（30事業場90台）'!$J$14:$AP$43,19,FALSE))</f>
        <v/>
      </c>
    </row>
    <row r="22" spans="1:12" x14ac:dyDescent="0.2">
      <c r="A22" s="5" t="str">
        <f t="shared" si="0"/>
        <v/>
      </c>
      <c r="B22" s="5" t="str">
        <f>IF('様式第1（30事業場90台）'!N66="","",'様式第1（30事業場90台）'!N66)</f>
        <v/>
      </c>
      <c r="C22" s="5" t="str">
        <f>IF('様式第1（30事業場90台）'!U66="","",'様式第1（30事業場90台）'!U66)</f>
        <v>-</v>
      </c>
      <c r="D22" s="5" t="str">
        <f>IF('様式第1（30事業場90台）'!W66="","",'様式第1（30事業場90台）'!W66)</f>
        <v/>
      </c>
      <c r="E22" s="5" t="str">
        <f>IF('様式第1（30事業場90台）'!AD66="","",'様式第1（30事業場90台）'!AD66)</f>
        <v>-</v>
      </c>
      <c r="F22" s="5" t="str">
        <f>IF('様式第1（30事業場90台）'!AF66="","",'様式第1（30事業場90台）'!AF66)</f>
        <v/>
      </c>
      <c r="G22" s="5" t="str">
        <f>IF('様式第1（30事業場90台）'!AL66="","",'様式第1（30事業場90台）'!AL66)</f>
        <v/>
      </c>
      <c r="H22" s="5" t="str">
        <f>IF('様式第1（30事業場90台）'!AN66="","",'様式第1（30事業場90台）'!AN66)</f>
        <v/>
      </c>
      <c r="I22" s="5" t="str">
        <f>IF('様式第1（30事業場90台）'!AT66="","",'様式第1（30事業場90台）'!AT66)</f>
        <v/>
      </c>
      <c r="J22" s="5">
        <f>'様式第1（30事業場90台）'!AV66</f>
        <v>0</v>
      </c>
      <c r="K22" s="5" t="str">
        <f>IF(A22="","",VLOOKUP('様式第1（30事業場90台）'!$J66,'様式第1（30事業場90台）'!$J$14:$AP$43,5,FALSE))</f>
        <v/>
      </c>
      <c r="L22" s="5" t="str">
        <f>IF(A22="","",VLOOKUP('様式第1（30事業場90台）'!$J66,'様式第1（30事業場90台）'!$J$14:$AP$43,19,FALSE))</f>
        <v/>
      </c>
    </row>
    <row r="23" spans="1:12" x14ac:dyDescent="0.2">
      <c r="A23" s="5" t="str">
        <f t="shared" si="0"/>
        <v/>
      </c>
      <c r="B23" s="5" t="str">
        <f>IF('様式第1（30事業場90台）'!N67="","",'様式第1（30事業場90台）'!N67)</f>
        <v/>
      </c>
      <c r="C23" s="5" t="str">
        <f>IF('様式第1（30事業場90台）'!U67="","",'様式第1（30事業場90台）'!U67)</f>
        <v>-</v>
      </c>
      <c r="D23" s="5" t="str">
        <f>IF('様式第1（30事業場90台）'!W67="","",'様式第1（30事業場90台）'!W67)</f>
        <v/>
      </c>
      <c r="E23" s="5" t="str">
        <f>IF('様式第1（30事業場90台）'!AD67="","",'様式第1（30事業場90台）'!AD67)</f>
        <v>-</v>
      </c>
      <c r="F23" s="5" t="str">
        <f>IF('様式第1（30事業場90台）'!AF67="","",'様式第1（30事業場90台）'!AF67)</f>
        <v/>
      </c>
      <c r="G23" s="5" t="str">
        <f>IF('様式第1（30事業場90台）'!AL67="","",'様式第1（30事業場90台）'!AL67)</f>
        <v/>
      </c>
      <c r="H23" s="5" t="str">
        <f>IF('様式第1（30事業場90台）'!AN67="","",'様式第1（30事業場90台）'!AN67)</f>
        <v/>
      </c>
      <c r="I23" s="5" t="str">
        <f>IF('様式第1（30事業場90台）'!AT67="","",'様式第1（30事業場90台）'!AT67)</f>
        <v/>
      </c>
      <c r="J23" s="5">
        <f>'様式第1（30事業場90台）'!AV67</f>
        <v>0</v>
      </c>
      <c r="K23" s="5" t="str">
        <f>IF(A23="","",VLOOKUP('様式第1（30事業場90台）'!$J67,'様式第1（30事業場90台）'!$J$14:$AP$43,5,FALSE))</f>
        <v/>
      </c>
      <c r="L23" s="5" t="str">
        <f>IF(A23="","",VLOOKUP('様式第1（30事業場90台）'!$J67,'様式第1（30事業場90台）'!$J$14:$AP$43,19,FALSE))</f>
        <v/>
      </c>
    </row>
    <row r="24" spans="1:12" x14ac:dyDescent="0.2">
      <c r="A24" s="5" t="str">
        <f t="shared" si="0"/>
        <v/>
      </c>
      <c r="B24" s="5" t="str">
        <f>IF('様式第1（30事業場90台）'!N68="","",'様式第1（30事業場90台）'!N68)</f>
        <v/>
      </c>
      <c r="C24" s="5" t="str">
        <f>IF('様式第1（30事業場90台）'!U68="","",'様式第1（30事業場90台）'!U68)</f>
        <v>-</v>
      </c>
      <c r="D24" s="5" t="str">
        <f>IF('様式第1（30事業場90台）'!W68="","",'様式第1（30事業場90台）'!W68)</f>
        <v/>
      </c>
      <c r="E24" s="5" t="str">
        <f>IF('様式第1（30事業場90台）'!AD68="","",'様式第1（30事業場90台）'!AD68)</f>
        <v>-</v>
      </c>
      <c r="F24" s="5" t="str">
        <f>IF('様式第1（30事業場90台）'!AF68="","",'様式第1（30事業場90台）'!AF68)</f>
        <v/>
      </c>
      <c r="G24" s="5" t="str">
        <f>IF('様式第1（30事業場90台）'!AL68="","",'様式第1（30事業場90台）'!AL68)</f>
        <v/>
      </c>
      <c r="H24" s="5" t="str">
        <f>IF('様式第1（30事業場90台）'!AN68="","",'様式第1（30事業場90台）'!AN68)</f>
        <v/>
      </c>
      <c r="I24" s="5" t="str">
        <f>IF('様式第1（30事業場90台）'!AT68="","",'様式第1（30事業場90台）'!AT68)</f>
        <v/>
      </c>
      <c r="J24" s="5">
        <f>'様式第1（30事業場90台）'!AV68</f>
        <v>0</v>
      </c>
      <c r="K24" s="5" t="str">
        <f>IF(A24="","",VLOOKUP('様式第1（30事業場90台）'!$J68,'様式第1（30事業場90台）'!$J$14:$AP$43,5,FALSE))</f>
        <v/>
      </c>
      <c r="L24" s="5" t="str">
        <f>IF(A24="","",VLOOKUP('様式第1（30事業場90台）'!$J68,'様式第1（30事業場90台）'!$J$14:$AP$43,19,FALSE))</f>
        <v/>
      </c>
    </row>
    <row r="25" spans="1:12" x14ac:dyDescent="0.2">
      <c r="A25" s="5" t="str">
        <f t="shared" si="0"/>
        <v/>
      </c>
      <c r="B25" s="5" t="str">
        <f>IF('様式第1（30事業場90台）'!N69="","",'様式第1（30事業場90台）'!N69)</f>
        <v/>
      </c>
      <c r="C25" s="5" t="str">
        <f>IF('様式第1（30事業場90台）'!U69="","",'様式第1（30事業場90台）'!U69)</f>
        <v>-</v>
      </c>
      <c r="D25" s="5" t="str">
        <f>IF('様式第1（30事業場90台）'!W69="","",'様式第1（30事業場90台）'!W69)</f>
        <v/>
      </c>
      <c r="E25" s="5" t="str">
        <f>IF('様式第1（30事業場90台）'!AD69="","",'様式第1（30事業場90台）'!AD69)</f>
        <v>-</v>
      </c>
      <c r="F25" s="5" t="str">
        <f>IF('様式第1（30事業場90台）'!AF69="","",'様式第1（30事業場90台）'!AF69)</f>
        <v/>
      </c>
      <c r="G25" s="5" t="str">
        <f>IF('様式第1（30事業場90台）'!AL69="","",'様式第1（30事業場90台）'!AL69)</f>
        <v/>
      </c>
      <c r="H25" s="5" t="str">
        <f>IF('様式第1（30事業場90台）'!AN69="","",'様式第1（30事業場90台）'!AN69)</f>
        <v/>
      </c>
      <c r="I25" s="5" t="str">
        <f>IF('様式第1（30事業場90台）'!AT69="","",'様式第1（30事業場90台）'!AT69)</f>
        <v/>
      </c>
      <c r="J25" s="5">
        <f>'様式第1（30事業場90台）'!AV69</f>
        <v>0</v>
      </c>
      <c r="K25" s="5" t="str">
        <f>IF(A25="","",VLOOKUP('様式第1（30事業場90台）'!$J69,'様式第1（30事業場90台）'!$J$14:$AP$43,5,FALSE))</f>
        <v/>
      </c>
      <c r="L25" s="5" t="str">
        <f>IF(A25="","",VLOOKUP('様式第1（30事業場90台）'!$J69,'様式第1（30事業場90台）'!$J$14:$AP$43,19,FALSE))</f>
        <v/>
      </c>
    </row>
    <row r="26" spans="1:12" x14ac:dyDescent="0.2">
      <c r="A26" s="5" t="str">
        <f t="shared" si="0"/>
        <v/>
      </c>
      <c r="B26" s="5" t="str">
        <f>IF('様式第1（30事業場90台）'!N70="","",'様式第1（30事業場90台）'!N70)</f>
        <v/>
      </c>
      <c r="C26" s="5" t="str">
        <f>IF('様式第1（30事業場90台）'!U70="","",'様式第1（30事業場90台）'!U70)</f>
        <v>-</v>
      </c>
      <c r="D26" s="5" t="str">
        <f>IF('様式第1（30事業場90台）'!W70="","",'様式第1（30事業場90台）'!W70)</f>
        <v/>
      </c>
      <c r="E26" s="5" t="str">
        <f>IF('様式第1（30事業場90台）'!AD70="","",'様式第1（30事業場90台）'!AD70)</f>
        <v>-</v>
      </c>
      <c r="F26" s="5" t="str">
        <f>IF('様式第1（30事業場90台）'!AF70="","",'様式第1（30事業場90台）'!AF70)</f>
        <v/>
      </c>
      <c r="G26" s="5" t="str">
        <f>IF('様式第1（30事業場90台）'!AL70="","",'様式第1（30事業場90台）'!AL70)</f>
        <v/>
      </c>
      <c r="H26" s="5" t="str">
        <f>IF('様式第1（30事業場90台）'!AN70="","",'様式第1（30事業場90台）'!AN70)</f>
        <v/>
      </c>
      <c r="I26" s="5" t="str">
        <f>IF('様式第1（30事業場90台）'!AT70="","",'様式第1（30事業場90台）'!AT70)</f>
        <v/>
      </c>
      <c r="J26" s="5">
        <f>'様式第1（30事業場90台）'!AV70</f>
        <v>0</v>
      </c>
      <c r="K26" s="5" t="str">
        <f>IF(A26="","",VLOOKUP('様式第1（30事業場90台）'!$J70,'様式第1（30事業場90台）'!$J$14:$AP$43,5,FALSE))</f>
        <v/>
      </c>
      <c r="L26" s="5" t="str">
        <f>IF(A26="","",VLOOKUP('様式第1（30事業場90台）'!$J70,'様式第1（30事業場90台）'!$J$14:$AP$43,19,FALSE))</f>
        <v/>
      </c>
    </row>
    <row r="27" spans="1:12" x14ac:dyDescent="0.2">
      <c r="A27" s="5" t="str">
        <f t="shared" si="0"/>
        <v/>
      </c>
      <c r="B27" s="5" t="str">
        <f>IF('様式第1（30事業場90台）'!N71="","",'様式第1（30事業場90台）'!N71)</f>
        <v/>
      </c>
      <c r="C27" s="5" t="str">
        <f>IF('様式第1（30事業場90台）'!U71="","",'様式第1（30事業場90台）'!U71)</f>
        <v>-</v>
      </c>
      <c r="D27" s="5" t="str">
        <f>IF('様式第1（30事業場90台）'!W71="","",'様式第1（30事業場90台）'!W71)</f>
        <v/>
      </c>
      <c r="E27" s="5" t="str">
        <f>IF('様式第1（30事業場90台）'!AD71="","",'様式第1（30事業場90台）'!AD71)</f>
        <v>-</v>
      </c>
      <c r="F27" s="5" t="str">
        <f>IF('様式第1（30事業場90台）'!AF71="","",'様式第1（30事業場90台）'!AF71)</f>
        <v/>
      </c>
      <c r="G27" s="5" t="str">
        <f>IF('様式第1（30事業場90台）'!AL71="","",'様式第1（30事業場90台）'!AL71)</f>
        <v/>
      </c>
      <c r="H27" s="5" t="str">
        <f>IF('様式第1（30事業場90台）'!AN71="","",'様式第1（30事業場90台）'!AN71)</f>
        <v/>
      </c>
      <c r="I27" s="5" t="str">
        <f>IF('様式第1（30事業場90台）'!AT71="","",'様式第1（30事業場90台）'!AT71)</f>
        <v/>
      </c>
      <c r="J27" s="5">
        <f>'様式第1（30事業場90台）'!AV71</f>
        <v>0</v>
      </c>
      <c r="K27" s="5" t="str">
        <f>IF(A27="","",VLOOKUP('様式第1（30事業場90台）'!$J71,'様式第1（30事業場90台）'!$J$14:$AP$43,5,FALSE))</f>
        <v/>
      </c>
      <c r="L27" s="5" t="str">
        <f>IF(A27="","",VLOOKUP('様式第1（30事業場90台）'!$J71,'様式第1（30事業場90台）'!$J$14:$AP$43,19,FALSE))</f>
        <v/>
      </c>
    </row>
    <row r="28" spans="1:12" x14ac:dyDescent="0.2">
      <c r="A28" s="5" t="str">
        <f t="shared" si="0"/>
        <v/>
      </c>
      <c r="B28" s="5" t="str">
        <f>IF('様式第1（30事業場90台）'!N72="","",'様式第1（30事業場90台）'!N72)</f>
        <v/>
      </c>
      <c r="C28" s="5" t="str">
        <f>IF('様式第1（30事業場90台）'!U72="","",'様式第1（30事業場90台）'!U72)</f>
        <v>-</v>
      </c>
      <c r="D28" s="5" t="str">
        <f>IF('様式第1（30事業場90台）'!W72="","",'様式第1（30事業場90台）'!W72)</f>
        <v/>
      </c>
      <c r="E28" s="5" t="str">
        <f>IF('様式第1（30事業場90台）'!AD72="","",'様式第1（30事業場90台）'!AD72)</f>
        <v>-</v>
      </c>
      <c r="F28" s="5" t="str">
        <f>IF('様式第1（30事業場90台）'!AF72="","",'様式第1（30事業場90台）'!AF72)</f>
        <v/>
      </c>
      <c r="G28" s="5" t="str">
        <f>IF('様式第1（30事業場90台）'!AL72="","",'様式第1（30事業場90台）'!AL72)</f>
        <v/>
      </c>
      <c r="H28" s="5" t="str">
        <f>IF('様式第1（30事業場90台）'!AN72="","",'様式第1（30事業場90台）'!AN72)</f>
        <v/>
      </c>
      <c r="I28" s="5" t="str">
        <f>IF('様式第1（30事業場90台）'!AT72="","",'様式第1（30事業場90台）'!AT72)</f>
        <v/>
      </c>
      <c r="J28" s="5">
        <f>'様式第1（30事業場90台）'!AV72</f>
        <v>0</v>
      </c>
      <c r="K28" s="5" t="str">
        <f>IF(A28="","",VLOOKUP('様式第1（30事業場90台）'!$J72,'様式第1（30事業場90台）'!$J$14:$AP$43,5,FALSE))</f>
        <v/>
      </c>
      <c r="L28" s="5" t="str">
        <f>IF(A28="","",VLOOKUP('様式第1（30事業場90台）'!$J72,'様式第1（30事業場90台）'!$J$14:$AP$43,19,FALSE))</f>
        <v/>
      </c>
    </row>
    <row r="29" spans="1:12" x14ac:dyDescent="0.2">
      <c r="A29" s="5" t="str">
        <f t="shared" si="0"/>
        <v/>
      </c>
      <c r="B29" s="5" t="str">
        <f>IF('様式第1（30事業場90台）'!N73="","",'様式第1（30事業場90台）'!N73)</f>
        <v/>
      </c>
      <c r="C29" s="5" t="str">
        <f>IF('様式第1（30事業場90台）'!U73="","",'様式第1（30事業場90台）'!U73)</f>
        <v>-</v>
      </c>
      <c r="D29" s="5" t="str">
        <f>IF('様式第1（30事業場90台）'!W73="","",'様式第1（30事業場90台）'!W73)</f>
        <v/>
      </c>
      <c r="E29" s="5" t="str">
        <f>IF('様式第1（30事業場90台）'!AD73="","",'様式第1（30事業場90台）'!AD73)</f>
        <v>-</v>
      </c>
      <c r="F29" s="5" t="str">
        <f>IF('様式第1（30事業場90台）'!AF73="","",'様式第1（30事業場90台）'!AF73)</f>
        <v/>
      </c>
      <c r="G29" s="5" t="str">
        <f>IF('様式第1（30事業場90台）'!AL73="","",'様式第1（30事業場90台）'!AL73)</f>
        <v/>
      </c>
      <c r="H29" s="5" t="str">
        <f>IF('様式第1（30事業場90台）'!AN73="","",'様式第1（30事業場90台）'!AN73)</f>
        <v/>
      </c>
      <c r="I29" s="5" t="str">
        <f>IF('様式第1（30事業場90台）'!AT73="","",'様式第1（30事業場90台）'!AT73)</f>
        <v/>
      </c>
      <c r="J29" s="5">
        <f>'様式第1（30事業場90台）'!AV73</f>
        <v>0</v>
      </c>
      <c r="K29" s="5" t="str">
        <f>IF(A29="","",VLOOKUP('様式第1（30事業場90台）'!$J73,'様式第1（30事業場90台）'!$J$14:$AP$43,5,FALSE))</f>
        <v/>
      </c>
      <c r="L29" s="5" t="str">
        <f>IF(A29="","",VLOOKUP('様式第1（30事業場90台）'!$J73,'様式第1（30事業場90台）'!$J$14:$AP$43,19,FALSE))</f>
        <v/>
      </c>
    </row>
    <row r="30" spans="1:12" x14ac:dyDescent="0.2">
      <c r="A30" s="5" t="str">
        <f t="shared" si="0"/>
        <v/>
      </c>
      <c r="B30" s="5" t="str">
        <f>IF('様式第1（30事業場90台）'!N74="","",'様式第1（30事業場90台）'!N74)</f>
        <v/>
      </c>
      <c r="C30" s="5" t="str">
        <f>IF('様式第1（30事業場90台）'!U74="","",'様式第1（30事業場90台）'!U74)</f>
        <v>-</v>
      </c>
      <c r="D30" s="5" t="str">
        <f>IF('様式第1（30事業場90台）'!W74="","",'様式第1（30事業場90台）'!W74)</f>
        <v/>
      </c>
      <c r="E30" s="5" t="str">
        <f>IF('様式第1（30事業場90台）'!AD74="","",'様式第1（30事業場90台）'!AD74)</f>
        <v>-</v>
      </c>
      <c r="F30" s="5" t="str">
        <f>IF('様式第1（30事業場90台）'!AF74="","",'様式第1（30事業場90台）'!AF74)</f>
        <v/>
      </c>
      <c r="G30" s="5" t="str">
        <f>IF('様式第1（30事業場90台）'!AL74="","",'様式第1（30事業場90台）'!AL74)</f>
        <v/>
      </c>
      <c r="H30" s="5" t="str">
        <f>IF('様式第1（30事業場90台）'!AN74="","",'様式第1（30事業場90台）'!AN74)</f>
        <v/>
      </c>
      <c r="I30" s="5" t="str">
        <f>IF('様式第1（30事業場90台）'!AT74="","",'様式第1（30事業場90台）'!AT74)</f>
        <v/>
      </c>
      <c r="J30" s="5">
        <f>'様式第1（30事業場90台）'!AV74</f>
        <v>0</v>
      </c>
      <c r="K30" s="5" t="str">
        <f>IF(A30="","",VLOOKUP('様式第1（30事業場90台）'!$J74,'様式第1（30事業場90台）'!$J$14:$AP$43,5,FALSE))</f>
        <v/>
      </c>
      <c r="L30" s="5" t="str">
        <f>IF(A30="","",VLOOKUP('様式第1（30事業場90台）'!$J74,'様式第1（30事業場90台）'!$J$14:$AP$43,19,FALSE))</f>
        <v/>
      </c>
    </row>
    <row r="31" spans="1:12" x14ac:dyDescent="0.2">
      <c r="A31" s="5" t="str">
        <f t="shared" si="0"/>
        <v/>
      </c>
      <c r="B31" s="5" t="str">
        <f>IF('様式第1（30事業場90台）'!N75="","",'様式第1（30事業場90台）'!N75)</f>
        <v/>
      </c>
      <c r="C31" s="5" t="str">
        <f>IF('様式第1（30事業場90台）'!U75="","",'様式第1（30事業場90台）'!U75)</f>
        <v>-</v>
      </c>
      <c r="D31" s="5" t="str">
        <f>IF('様式第1（30事業場90台）'!W75="","",'様式第1（30事業場90台）'!W75)</f>
        <v/>
      </c>
      <c r="E31" s="5" t="str">
        <f>IF('様式第1（30事業場90台）'!AD75="","",'様式第1（30事業場90台）'!AD75)</f>
        <v>-</v>
      </c>
      <c r="F31" s="5" t="str">
        <f>IF('様式第1（30事業場90台）'!AF75="","",'様式第1（30事業場90台）'!AF75)</f>
        <v/>
      </c>
      <c r="G31" s="5" t="str">
        <f>IF('様式第1（30事業場90台）'!AL75="","",'様式第1（30事業場90台）'!AL75)</f>
        <v/>
      </c>
      <c r="H31" s="5" t="str">
        <f>IF('様式第1（30事業場90台）'!AN75="","",'様式第1（30事業場90台）'!AN75)</f>
        <v/>
      </c>
      <c r="I31" s="5" t="str">
        <f>IF('様式第1（30事業場90台）'!AT75="","",'様式第1（30事業場90台）'!AT75)</f>
        <v/>
      </c>
      <c r="J31" s="5">
        <f>'様式第1（30事業場90台）'!AV75</f>
        <v>0</v>
      </c>
      <c r="K31" s="5" t="str">
        <f>IF(A31="","",VLOOKUP('様式第1（30事業場90台）'!$J75,'様式第1（30事業場90台）'!$J$14:$AP$43,5,FALSE))</f>
        <v/>
      </c>
      <c r="L31" s="5" t="str">
        <f>IF(A31="","",VLOOKUP('様式第1（30事業場90台）'!$J75,'様式第1（30事業場90台）'!$J$14:$AP$43,19,FALSE))</f>
        <v/>
      </c>
    </row>
    <row r="32" spans="1:12" x14ac:dyDescent="0.2">
      <c r="A32" s="5" t="str">
        <f t="shared" si="0"/>
        <v/>
      </c>
      <c r="B32" s="5" t="str">
        <f>IF('様式第1（30事業場90台）'!N76="","",'様式第1（30事業場90台）'!N76)</f>
        <v/>
      </c>
      <c r="C32" s="5" t="str">
        <f>IF('様式第1（30事業場90台）'!U76="","",'様式第1（30事業場90台）'!U76)</f>
        <v>-</v>
      </c>
      <c r="D32" s="5" t="str">
        <f>IF('様式第1（30事業場90台）'!W76="","",'様式第1（30事業場90台）'!W76)</f>
        <v/>
      </c>
      <c r="E32" s="5" t="str">
        <f>IF('様式第1（30事業場90台）'!AD76="","",'様式第1（30事業場90台）'!AD76)</f>
        <v>-</v>
      </c>
      <c r="F32" s="5" t="str">
        <f>IF('様式第1（30事業場90台）'!AF76="","",'様式第1（30事業場90台）'!AF76)</f>
        <v/>
      </c>
      <c r="G32" s="5" t="str">
        <f>IF('様式第1（30事業場90台）'!AL76="","",'様式第1（30事業場90台）'!AL76)</f>
        <v/>
      </c>
      <c r="H32" s="5" t="str">
        <f>IF('様式第1（30事業場90台）'!AN76="","",'様式第1（30事業場90台）'!AN76)</f>
        <v/>
      </c>
      <c r="I32" s="5" t="str">
        <f>IF('様式第1（30事業場90台）'!AT76="","",'様式第1（30事業場90台）'!AT76)</f>
        <v/>
      </c>
      <c r="J32" s="5">
        <f>'様式第1（30事業場90台）'!AV76</f>
        <v>0</v>
      </c>
      <c r="K32" s="5" t="str">
        <f>IF(A32="","",VLOOKUP('様式第1（30事業場90台）'!$J76,'様式第1（30事業場90台）'!$J$14:$AP$43,5,FALSE))</f>
        <v/>
      </c>
      <c r="L32" s="5" t="str">
        <f>IF(A32="","",VLOOKUP('様式第1（30事業場90台）'!$J76,'様式第1（30事業場90台）'!$J$14:$AP$43,19,FALSE))</f>
        <v/>
      </c>
    </row>
    <row r="33" spans="1:12" x14ac:dyDescent="0.2">
      <c r="A33" s="5" t="str">
        <f t="shared" si="0"/>
        <v/>
      </c>
      <c r="B33" s="5" t="str">
        <f>IF('様式第1（30事業場90台）'!N77="","",'様式第1（30事業場90台）'!N77)</f>
        <v/>
      </c>
      <c r="C33" s="5" t="str">
        <f>IF('様式第1（30事業場90台）'!U77="","",'様式第1（30事業場90台）'!U77)</f>
        <v>-</v>
      </c>
      <c r="D33" s="5" t="str">
        <f>IF('様式第1（30事業場90台）'!W77="","",'様式第1（30事業場90台）'!W77)</f>
        <v/>
      </c>
      <c r="E33" s="5" t="str">
        <f>IF('様式第1（30事業場90台）'!AD77="","",'様式第1（30事業場90台）'!AD77)</f>
        <v>-</v>
      </c>
      <c r="F33" s="5" t="str">
        <f>IF('様式第1（30事業場90台）'!AF77="","",'様式第1（30事業場90台）'!AF77)</f>
        <v/>
      </c>
      <c r="G33" s="5" t="str">
        <f>IF('様式第1（30事業場90台）'!AL77="","",'様式第1（30事業場90台）'!AL77)</f>
        <v/>
      </c>
      <c r="H33" s="5" t="str">
        <f>IF('様式第1（30事業場90台）'!AN77="","",'様式第1（30事業場90台）'!AN77)</f>
        <v/>
      </c>
      <c r="I33" s="5" t="str">
        <f>IF('様式第1（30事業場90台）'!AT77="","",'様式第1（30事業場90台）'!AT77)</f>
        <v/>
      </c>
      <c r="J33" s="5">
        <f>'様式第1（30事業場90台）'!AV77</f>
        <v>0</v>
      </c>
      <c r="K33" s="5" t="str">
        <f>IF(A33="","",VLOOKUP('様式第1（30事業場90台）'!$J77,'様式第1（30事業場90台）'!$J$14:$AP$43,5,FALSE))</f>
        <v/>
      </c>
      <c r="L33" s="5" t="str">
        <f>IF(A33="","",VLOOKUP('様式第1（30事業場90台）'!$J77,'様式第1（30事業場90台）'!$J$14:$AP$43,19,FALSE))</f>
        <v/>
      </c>
    </row>
    <row r="34" spans="1:12" x14ac:dyDescent="0.2">
      <c r="A34" s="5" t="str">
        <f t="shared" si="0"/>
        <v/>
      </c>
      <c r="B34" s="5" t="str">
        <f>IF('様式第1（30事業場90台）'!N78="","",'様式第1（30事業場90台）'!N78)</f>
        <v/>
      </c>
      <c r="C34" s="5" t="str">
        <f>IF('様式第1（30事業場90台）'!U78="","",'様式第1（30事業場90台）'!U78)</f>
        <v>-</v>
      </c>
      <c r="D34" s="5" t="str">
        <f>IF('様式第1（30事業場90台）'!W78="","",'様式第1（30事業場90台）'!W78)</f>
        <v/>
      </c>
      <c r="E34" s="5" t="str">
        <f>IF('様式第1（30事業場90台）'!AD78="","",'様式第1（30事業場90台）'!AD78)</f>
        <v>-</v>
      </c>
      <c r="F34" s="5" t="str">
        <f>IF('様式第1（30事業場90台）'!AF78="","",'様式第1（30事業場90台）'!AF78)</f>
        <v/>
      </c>
      <c r="G34" s="5" t="str">
        <f>IF('様式第1（30事業場90台）'!AL78="","",'様式第1（30事業場90台）'!AL78)</f>
        <v/>
      </c>
      <c r="H34" s="5" t="str">
        <f>IF('様式第1（30事業場90台）'!AN78="","",'様式第1（30事業場90台）'!AN78)</f>
        <v/>
      </c>
      <c r="I34" s="5" t="str">
        <f>IF('様式第1（30事業場90台）'!AT78="","",'様式第1（30事業場90台）'!AT78)</f>
        <v/>
      </c>
      <c r="J34" s="5">
        <f>'様式第1（30事業場90台）'!AV78</f>
        <v>0</v>
      </c>
      <c r="K34" s="5" t="str">
        <f>IF(A34="","",VLOOKUP('様式第1（30事業場90台）'!$J78,'様式第1（30事業場90台）'!$J$14:$AP$43,5,FALSE))</f>
        <v/>
      </c>
      <c r="L34" s="5" t="str">
        <f>IF(A34="","",VLOOKUP('様式第1（30事業場90台）'!$J78,'様式第1（30事業場90台）'!$J$14:$AP$43,19,FALSE))</f>
        <v/>
      </c>
    </row>
    <row r="35" spans="1:12" x14ac:dyDescent="0.2">
      <c r="A35" s="5" t="str">
        <f t="shared" si="0"/>
        <v/>
      </c>
      <c r="B35" s="5" t="str">
        <f>IF('様式第1（30事業場90台）'!N79="","",'様式第1（30事業場90台）'!N79)</f>
        <v/>
      </c>
      <c r="C35" s="5" t="str">
        <f>IF('様式第1（30事業場90台）'!U79="","",'様式第1（30事業場90台）'!U79)</f>
        <v>-</v>
      </c>
      <c r="D35" s="5" t="str">
        <f>IF('様式第1（30事業場90台）'!W79="","",'様式第1（30事業場90台）'!W79)</f>
        <v/>
      </c>
      <c r="E35" s="5" t="str">
        <f>IF('様式第1（30事業場90台）'!AD79="","",'様式第1（30事業場90台）'!AD79)</f>
        <v>-</v>
      </c>
      <c r="F35" s="5" t="str">
        <f>IF('様式第1（30事業場90台）'!AF79="","",'様式第1（30事業場90台）'!AF79)</f>
        <v/>
      </c>
      <c r="G35" s="5" t="str">
        <f>IF('様式第1（30事業場90台）'!AL79="","",'様式第1（30事業場90台）'!AL79)</f>
        <v/>
      </c>
      <c r="H35" s="5" t="str">
        <f>IF('様式第1（30事業場90台）'!AN79="","",'様式第1（30事業場90台）'!AN79)</f>
        <v/>
      </c>
      <c r="I35" s="5" t="str">
        <f>IF('様式第1（30事業場90台）'!AT79="","",'様式第1（30事業場90台）'!AT79)</f>
        <v/>
      </c>
      <c r="J35" s="5">
        <f>'様式第1（30事業場90台）'!AV79</f>
        <v>0</v>
      </c>
      <c r="K35" s="5" t="str">
        <f>IF(A35="","",VLOOKUP('様式第1（30事業場90台）'!$J79,'様式第1（30事業場90台）'!$J$14:$AP$43,5,FALSE))</f>
        <v/>
      </c>
      <c r="L35" s="5" t="str">
        <f>IF(A35="","",VLOOKUP('様式第1（30事業場90台）'!$J79,'様式第1（30事業場90台）'!$J$14:$AP$43,19,FALSE))</f>
        <v/>
      </c>
    </row>
    <row r="36" spans="1:12" x14ac:dyDescent="0.2">
      <c r="A36" s="5" t="str">
        <f t="shared" si="0"/>
        <v/>
      </c>
      <c r="B36" s="5" t="str">
        <f>IF('様式第1（30事業場90台）'!N80="","",'様式第1（30事業場90台）'!N80)</f>
        <v/>
      </c>
      <c r="C36" s="5" t="str">
        <f>IF('様式第1（30事業場90台）'!U80="","",'様式第1（30事業場90台）'!U80)</f>
        <v>-</v>
      </c>
      <c r="D36" s="5" t="str">
        <f>IF('様式第1（30事業場90台）'!W80="","",'様式第1（30事業場90台）'!W80)</f>
        <v/>
      </c>
      <c r="E36" s="5" t="str">
        <f>IF('様式第1（30事業場90台）'!AD80="","",'様式第1（30事業場90台）'!AD80)</f>
        <v>-</v>
      </c>
      <c r="F36" s="5" t="str">
        <f>IF('様式第1（30事業場90台）'!AF80="","",'様式第1（30事業場90台）'!AF80)</f>
        <v/>
      </c>
      <c r="G36" s="5" t="str">
        <f>IF('様式第1（30事業場90台）'!AL80="","",'様式第1（30事業場90台）'!AL80)</f>
        <v/>
      </c>
      <c r="H36" s="5" t="str">
        <f>IF('様式第1（30事業場90台）'!AN80="","",'様式第1（30事業場90台）'!AN80)</f>
        <v/>
      </c>
      <c r="I36" s="5" t="str">
        <f>IF('様式第1（30事業場90台）'!AT80="","",'様式第1（30事業場90台）'!AT80)</f>
        <v/>
      </c>
      <c r="J36" s="5">
        <f>'様式第1（30事業場90台）'!AV80</f>
        <v>0</v>
      </c>
      <c r="K36" s="5" t="str">
        <f>IF(A36="","",VLOOKUP('様式第1（30事業場90台）'!$J80,'様式第1（30事業場90台）'!$J$14:$AP$43,5,FALSE))</f>
        <v/>
      </c>
      <c r="L36" s="5" t="str">
        <f>IF(A36="","",VLOOKUP('様式第1（30事業場90台）'!$J80,'様式第1（30事業場90台）'!$J$14:$AP$43,19,FALSE))</f>
        <v/>
      </c>
    </row>
    <row r="37" spans="1:12" x14ac:dyDescent="0.2">
      <c r="A37" s="5" t="str">
        <f t="shared" si="0"/>
        <v/>
      </c>
      <c r="B37" s="5" t="str">
        <f>IF('様式第1（30事業場90台）'!N81="","",'様式第1（30事業場90台）'!N81)</f>
        <v/>
      </c>
      <c r="C37" s="5" t="str">
        <f>IF('様式第1（30事業場90台）'!U81="","",'様式第1（30事業場90台）'!U81)</f>
        <v>-</v>
      </c>
      <c r="D37" s="5" t="str">
        <f>IF('様式第1（30事業場90台）'!W81="","",'様式第1（30事業場90台）'!W81)</f>
        <v/>
      </c>
      <c r="E37" s="5" t="str">
        <f>IF('様式第1（30事業場90台）'!AD81="","",'様式第1（30事業場90台）'!AD81)</f>
        <v>-</v>
      </c>
      <c r="F37" s="5" t="str">
        <f>IF('様式第1（30事業場90台）'!AF81="","",'様式第1（30事業場90台）'!AF81)</f>
        <v/>
      </c>
      <c r="G37" s="5" t="str">
        <f>IF('様式第1（30事業場90台）'!AL81="","",'様式第1（30事業場90台）'!AL81)</f>
        <v/>
      </c>
      <c r="H37" s="5" t="str">
        <f>IF('様式第1（30事業場90台）'!AN81="","",'様式第1（30事業場90台）'!AN81)</f>
        <v/>
      </c>
      <c r="I37" s="5" t="str">
        <f>IF('様式第1（30事業場90台）'!AT81="","",'様式第1（30事業場90台）'!AT81)</f>
        <v/>
      </c>
      <c r="J37" s="5">
        <f>'様式第1（30事業場90台）'!AV81</f>
        <v>0</v>
      </c>
      <c r="K37" s="5" t="str">
        <f>IF(A37="","",VLOOKUP('様式第1（30事業場90台）'!$J81,'様式第1（30事業場90台）'!$J$14:$AP$43,5,FALSE))</f>
        <v/>
      </c>
      <c r="L37" s="5" t="str">
        <f>IF(A37="","",VLOOKUP('様式第1（30事業場90台）'!$J81,'様式第1（30事業場90台）'!$J$14:$AP$43,19,FALSE))</f>
        <v/>
      </c>
    </row>
    <row r="38" spans="1:12" x14ac:dyDescent="0.2">
      <c r="A38" s="5" t="str">
        <f t="shared" si="0"/>
        <v/>
      </c>
      <c r="B38" s="5" t="str">
        <f>IF('様式第1（30事業場90台）'!N82="","",'様式第1（30事業場90台）'!N82)</f>
        <v/>
      </c>
      <c r="C38" s="5" t="str">
        <f>IF('様式第1（30事業場90台）'!U82="","",'様式第1（30事業場90台）'!U82)</f>
        <v>-</v>
      </c>
      <c r="D38" s="5" t="str">
        <f>IF('様式第1（30事業場90台）'!W82="","",'様式第1（30事業場90台）'!W82)</f>
        <v/>
      </c>
      <c r="E38" s="5" t="str">
        <f>IF('様式第1（30事業場90台）'!AD82="","",'様式第1（30事業場90台）'!AD82)</f>
        <v>-</v>
      </c>
      <c r="F38" s="5" t="str">
        <f>IF('様式第1（30事業場90台）'!AF82="","",'様式第1（30事業場90台）'!AF82)</f>
        <v/>
      </c>
      <c r="G38" s="5" t="str">
        <f>IF('様式第1（30事業場90台）'!AL82="","",'様式第1（30事業場90台）'!AL82)</f>
        <v/>
      </c>
      <c r="H38" s="5" t="str">
        <f>IF('様式第1（30事業場90台）'!AN82="","",'様式第1（30事業場90台）'!AN82)</f>
        <v/>
      </c>
      <c r="I38" s="5" t="str">
        <f>IF('様式第1（30事業場90台）'!AT82="","",'様式第1（30事業場90台）'!AT82)</f>
        <v/>
      </c>
      <c r="J38" s="5">
        <f>'様式第1（30事業場90台）'!AV82</f>
        <v>0</v>
      </c>
      <c r="K38" s="5" t="str">
        <f>IF(A38="","",VLOOKUP('様式第1（30事業場90台）'!$J82,'様式第1（30事業場90台）'!$J$14:$AP$43,5,FALSE))</f>
        <v/>
      </c>
      <c r="L38" s="5" t="str">
        <f>IF(A38="","",VLOOKUP('様式第1（30事業場90台）'!$J82,'様式第1（30事業場90台）'!$J$14:$AP$43,19,FALSE))</f>
        <v/>
      </c>
    </row>
    <row r="39" spans="1:12" x14ac:dyDescent="0.2">
      <c r="A39" s="5" t="str">
        <f t="shared" si="0"/>
        <v/>
      </c>
      <c r="B39" s="5" t="str">
        <f>IF('様式第1（30事業場90台）'!N83="","",'様式第1（30事業場90台）'!N83)</f>
        <v/>
      </c>
      <c r="C39" s="5" t="str">
        <f>IF('様式第1（30事業場90台）'!U83="","",'様式第1（30事業場90台）'!U83)</f>
        <v>-</v>
      </c>
      <c r="D39" s="5" t="str">
        <f>IF('様式第1（30事業場90台）'!W83="","",'様式第1（30事業場90台）'!W83)</f>
        <v/>
      </c>
      <c r="E39" s="5" t="str">
        <f>IF('様式第1（30事業場90台）'!AD83="","",'様式第1（30事業場90台）'!AD83)</f>
        <v>-</v>
      </c>
      <c r="F39" s="5" t="str">
        <f>IF('様式第1（30事業場90台）'!AF83="","",'様式第1（30事業場90台）'!AF83)</f>
        <v/>
      </c>
      <c r="G39" s="5" t="str">
        <f>IF('様式第1（30事業場90台）'!AL83="","",'様式第1（30事業場90台）'!AL83)</f>
        <v/>
      </c>
      <c r="H39" s="5" t="str">
        <f>IF('様式第1（30事業場90台）'!AN83="","",'様式第1（30事業場90台）'!AN83)</f>
        <v/>
      </c>
      <c r="I39" s="5" t="str">
        <f>IF('様式第1（30事業場90台）'!AT83="","",'様式第1（30事業場90台）'!AT83)</f>
        <v/>
      </c>
      <c r="J39" s="5">
        <f>'様式第1（30事業場90台）'!AV83</f>
        <v>0</v>
      </c>
      <c r="K39" s="5" t="str">
        <f>IF(A39="","",VLOOKUP('様式第1（30事業場90台）'!$J83,'様式第1（30事業場90台）'!$J$14:$AP$43,5,FALSE))</f>
        <v/>
      </c>
      <c r="L39" s="5" t="str">
        <f>IF(A39="","",VLOOKUP('様式第1（30事業場90台）'!$J83,'様式第1（30事業場90台）'!$J$14:$AP$43,19,FALSE))</f>
        <v/>
      </c>
    </row>
    <row r="40" spans="1:12" x14ac:dyDescent="0.2">
      <c r="A40" s="5" t="str">
        <f t="shared" si="0"/>
        <v/>
      </c>
      <c r="B40" s="5" t="str">
        <f>IF('様式第1（30事業場90台）'!N84="","",'様式第1（30事業場90台）'!N84)</f>
        <v/>
      </c>
      <c r="C40" s="5" t="str">
        <f>IF('様式第1（30事業場90台）'!U84="","",'様式第1（30事業場90台）'!U84)</f>
        <v>-</v>
      </c>
      <c r="D40" s="5" t="str">
        <f>IF('様式第1（30事業場90台）'!W84="","",'様式第1（30事業場90台）'!W84)</f>
        <v/>
      </c>
      <c r="E40" s="5" t="str">
        <f>IF('様式第1（30事業場90台）'!AD84="","",'様式第1（30事業場90台）'!AD84)</f>
        <v>-</v>
      </c>
      <c r="F40" s="5" t="str">
        <f>IF('様式第1（30事業場90台）'!AF84="","",'様式第1（30事業場90台）'!AF84)</f>
        <v/>
      </c>
      <c r="G40" s="5" t="str">
        <f>IF('様式第1（30事業場90台）'!AL84="","",'様式第1（30事業場90台）'!AL84)</f>
        <v/>
      </c>
      <c r="H40" s="5" t="str">
        <f>IF('様式第1（30事業場90台）'!AN84="","",'様式第1（30事業場90台）'!AN84)</f>
        <v/>
      </c>
      <c r="I40" s="5" t="str">
        <f>IF('様式第1（30事業場90台）'!AT84="","",'様式第1（30事業場90台）'!AT84)</f>
        <v/>
      </c>
      <c r="J40" s="5">
        <f>'様式第1（30事業場90台）'!AV84</f>
        <v>0</v>
      </c>
      <c r="K40" s="5" t="str">
        <f>IF(A40="","",VLOOKUP('様式第1（30事業場90台）'!$J84,'様式第1（30事業場90台）'!$J$14:$AP$43,5,FALSE))</f>
        <v/>
      </c>
      <c r="L40" s="5" t="str">
        <f>IF(A40="","",VLOOKUP('様式第1（30事業場90台）'!$J84,'様式第1（30事業場90台）'!$J$14:$AP$43,19,FALSE))</f>
        <v/>
      </c>
    </row>
    <row r="41" spans="1:12" x14ac:dyDescent="0.2">
      <c r="A41" s="5" t="str">
        <f t="shared" si="0"/>
        <v/>
      </c>
      <c r="B41" s="5" t="str">
        <f>IF('様式第1（30事業場90台）'!N85="","",'様式第1（30事業場90台）'!N85)</f>
        <v/>
      </c>
      <c r="C41" s="5" t="str">
        <f>IF('様式第1（30事業場90台）'!U85="","",'様式第1（30事業場90台）'!U85)</f>
        <v>-</v>
      </c>
      <c r="D41" s="5" t="str">
        <f>IF('様式第1（30事業場90台）'!W85="","",'様式第1（30事業場90台）'!W85)</f>
        <v/>
      </c>
      <c r="E41" s="5" t="str">
        <f>IF('様式第1（30事業場90台）'!AD85="","",'様式第1（30事業場90台）'!AD85)</f>
        <v>-</v>
      </c>
      <c r="F41" s="5" t="str">
        <f>IF('様式第1（30事業場90台）'!AF85="","",'様式第1（30事業場90台）'!AF85)</f>
        <v/>
      </c>
      <c r="G41" s="5" t="str">
        <f>IF('様式第1（30事業場90台）'!AL85="","",'様式第1（30事業場90台）'!AL85)</f>
        <v/>
      </c>
      <c r="H41" s="5" t="str">
        <f>IF('様式第1（30事業場90台）'!AN85="","",'様式第1（30事業場90台）'!AN85)</f>
        <v/>
      </c>
      <c r="I41" s="5" t="str">
        <f>IF('様式第1（30事業場90台）'!AT85="","",'様式第1（30事業場90台）'!AT85)</f>
        <v/>
      </c>
      <c r="J41" s="5">
        <f>'様式第1（30事業場90台）'!AV85</f>
        <v>0</v>
      </c>
      <c r="K41" s="5" t="str">
        <f>IF(A41="","",VLOOKUP('様式第1（30事業場90台）'!$J85,'様式第1（30事業場90台）'!$J$14:$AP$43,5,FALSE))</f>
        <v/>
      </c>
      <c r="L41" s="5" t="str">
        <f>IF(A41="","",VLOOKUP('様式第1（30事業場90台）'!$J85,'様式第1（30事業場90台）'!$J$14:$AP$43,19,FALSE))</f>
        <v/>
      </c>
    </row>
    <row r="42" spans="1:12" x14ac:dyDescent="0.2">
      <c r="A42" s="5" t="str">
        <f t="shared" si="0"/>
        <v/>
      </c>
      <c r="B42" s="5" t="str">
        <f>IF('様式第1（30事業場90台）'!N86="","",'様式第1（30事業場90台）'!N86)</f>
        <v/>
      </c>
      <c r="C42" s="5" t="str">
        <f>IF('様式第1（30事業場90台）'!U86="","",'様式第1（30事業場90台）'!U86)</f>
        <v>-</v>
      </c>
      <c r="D42" s="5" t="str">
        <f>IF('様式第1（30事業場90台）'!W86="","",'様式第1（30事業場90台）'!W86)</f>
        <v/>
      </c>
      <c r="E42" s="5" t="str">
        <f>IF('様式第1（30事業場90台）'!AD86="","",'様式第1（30事業場90台）'!AD86)</f>
        <v>-</v>
      </c>
      <c r="F42" s="5" t="str">
        <f>IF('様式第1（30事業場90台）'!AF86="","",'様式第1（30事業場90台）'!AF86)</f>
        <v/>
      </c>
      <c r="G42" s="5" t="str">
        <f>IF('様式第1（30事業場90台）'!AL86="","",'様式第1（30事業場90台）'!AL86)</f>
        <v/>
      </c>
      <c r="H42" s="5" t="str">
        <f>IF('様式第1（30事業場90台）'!AN86="","",'様式第1（30事業場90台）'!AN86)</f>
        <v/>
      </c>
      <c r="I42" s="5" t="str">
        <f>IF('様式第1（30事業場90台）'!AT86="","",'様式第1（30事業場90台）'!AT86)</f>
        <v/>
      </c>
      <c r="J42" s="5">
        <f>'様式第1（30事業場90台）'!AV86</f>
        <v>0</v>
      </c>
      <c r="K42" s="5" t="str">
        <f>IF(A42="","",VLOOKUP('様式第1（30事業場90台）'!$J86,'様式第1（30事業場90台）'!$J$14:$AP$43,5,FALSE))</f>
        <v/>
      </c>
      <c r="L42" s="5" t="str">
        <f>IF(A42="","",VLOOKUP('様式第1（30事業場90台）'!$J86,'様式第1（30事業場90台）'!$J$14:$AP$43,19,FALSE))</f>
        <v/>
      </c>
    </row>
    <row r="43" spans="1:12" x14ac:dyDescent="0.2">
      <c r="A43" s="5" t="str">
        <f t="shared" si="0"/>
        <v/>
      </c>
      <c r="B43" s="5" t="str">
        <f>IF('様式第1（30事業場90台）'!N87="","",'様式第1（30事業場90台）'!N87)</f>
        <v/>
      </c>
      <c r="C43" s="5" t="str">
        <f>IF('様式第1（30事業場90台）'!U87="","",'様式第1（30事業場90台）'!U87)</f>
        <v>-</v>
      </c>
      <c r="D43" s="5" t="str">
        <f>IF('様式第1（30事業場90台）'!W87="","",'様式第1（30事業場90台）'!W87)</f>
        <v/>
      </c>
      <c r="E43" s="5" t="str">
        <f>IF('様式第1（30事業場90台）'!AD87="","",'様式第1（30事業場90台）'!AD87)</f>
        <v>-</v>
      </c>
      <c r="F43" s="5" t="str">
        <f>IF('様式第1（30事業場90台）'!AF87="","",'様式第1（30事業場90台）'!AF87)</f>
        <v/>
      </c>
      <c r="G43" s="5" t="str">
        <f>IF('様式第1（30事業場90台）'!AL87="","",'様式第1（30事業場90台）'!AL87)</f>
        <v/>
      </c>
      <c r="H43" s="5" t="str">
        <f>IF('様式第1（30事業場90台）'!AN87="","",'様式第1（30事業場90台）'!AN87)</f>
        <v/>
      </c>
      <c r="I43" s="5" t="str">
        <f>IF('様式第1（30事業場90台）'!AT87="","",'様式第1（30事業場90台）'!AT87)</f>
        <v/>
      </c>
      <c r="J43" s="5">
        <f>'様式第1（30事業場90台）'!AV87</f>
        <v>0</v>
      </c>
      <c r="K43" s="5" t="str">
        <f>IF(A43="","",VLOOKUP('様式第1（30事業場90台）'!$J87,'様式第1（30事業場90台）'!$J$14:$AP$43,5,FALSE))</f>
        <v/>
      </c>
      <c r="L43" s="5" t="str">
        <f>IF(A43="","",VLOOKUP('様式第1（30事業場90台）'!$J87,'様式第1（30事業場90台）'!$J$14:$AP$43,19,FALSE))</f>
        <v/>
      </c>
    </row>
    <row r="44" spans="1:12" x14ac:dyDescent="0.2">
      <c r="A44" s="5" t="str">
        <f t="shared" si="0"/>
        <v/>
      </c>
      <c r="B44" s="5" t="str">
        <f>IF('様式第1（30事業場90台）'!N88="","",'様式第1（30事業場90台）'!N88)</f>
        <v/>
      </c>
      <c r="C44" s="5" t="str">
        <f>IF('様式第1（30事業場90台）'!U88="","",'様式第1（30事業場90台）'!U88)</f>
        <v>-</v>
      </c>
      <c r="D44" s="5" t="str">
        <f>IF('様式第1（30事業場90台）'!W88="","",'様式第1（30事業場90台）'!W88)</f>
        <v/>
      </c>
      <c r="E44" s="5" t="str">
        <f>IF('様式第1（30事業場90台）'!AD88="","",'様式第1（30事業場90台）'!AD88)</f>
        <v>-</v>
      </c>
      <c r="F44" s="5" t="str">
        <f>IF('様式第1（30事業場90台）'!AF88="","",'様式第1（30事業場90台）'!AF88)</f>
        <v/>
      </c>
      <c r="G44" s="5" t="str">
        <f>IF('様式第1（30事業場90台）'!AL88="","",'様式第1（30事業場90台）'!AL88)</f>
        <v/>
      </c>
      <c r="H44" s="5" t="str">
        <f>IF('様式第1（30事業場90台）'!AN88="","",'様式第1（30事業場90台）'!AN88)</f>
        <v/>
      </c>
      <c r="I44" s="5" t="str">
        <f>IF('様式第1（30事業場90台）'!AT88="","",'様式第1（30事業場90台）'!AT88)</f>
        <v/>
      </c>
      <c r="J44" s="5">
        <f>'様式第1（30事業場90台）'!AV88</f>
        <v>0</v>
      </c>
      <c r="K44" s="5" t="str">
        <f>IF(A44="","",VLOOKUP('様式第1（30事業場90台）'!$J88,'様式第1（30事業場90台）'!$J$14:$AP$43,5,FALSE))</f>
        <v/>
      </c>
      <c r="L44" s="5" t="str">
        <f>IF(A44="","",VLOOKUP('様式第1（30事業場90台）'!$J88,'様式第1（30事業場90台）'!$J$14:$AP$43,19,FALSE))</f>
        <v/>
      </c>
    </row>
    <row r="45" spans="1:12" x14ac:dyDescent="0.2">
      <c r="A45" s="5" t="str">
        <f t="shared" si="0"/>
        <v/>
      </c>
      <c r="B45" s="5" t="str">
        <f>IF('様式第1（30事業場90台）'!N89="","",'様式第1（30事業場90台）'!N89)</f>
        <v/>
      </c>
      <c r="C45" s="5" t="str">
        <f>IF('様式第1（30事業場90台）'!U89="","",'様式第1（30事業場90台）'!U89)</f>
        <v>-</v>
      </c>
      <c r="D45" s="5" t="str">
        <f>IF('様式第1（30事業場90台）'!W89="","",'様式第1（30事業場90台）'!W89)</f>
        <v/>
      </c>
      <c r="E45" s="5" t="str">
        <f>IF('様式第1（30事業場90台）'!AD89="","",'様式第1（30事業場90台）'!AD89)</f>
        <v>-</v>
      </c>
      <c r="F45" s="5" t="str">
        <f>IF('様式第1（30事業場90台）'!AF89="","",'様式第1（30事業場90台）'!AF89)</f>
        <v/>
      </c>
      <c r="G45" s="5" t="str">
        <f>IF('様式第1（30事業場90台）'!AL89="","",'様式第1（30事業場90台）'!AL89)</f>
        <v/>
      </c>
      <c r="H45" s="5" t="str">
        <f>IF('様式第1（30事業場90台）'!AN89="","",'様式第1（30事業場90台）'!AN89)</f>
        <v/>
      </c>
      <c r="I45" s="5" t="str">
        <f>IF('様式第1（30事業場90台）'!AT89="","",'様式第1（30事業場90台）'!AT89)</f>
        <v/>
      </c>
      <c r="J45" s="5">
        <f>'様式第1（30事業場90台）'!AV89</f>
        <v>0</v>
      </c>
      <c r="K45" s="5" t="str">
        <f>IF(A45="","",VLOOKUP('様式第1（30事業場90台）'!$J89,'様式第1（30事業場90台）'!$J$14:$AP$43,5,FALSE))</f>
        <v/>
      </c>
      <c r="L45" s="5" t="str">
        <f>IF(A45="","",VLOOKUP('様式第1（30事業場90台）'!$J89,'様式第1（30事業場90台）'!$J$14:$AP$43,19,FALSE))</f>
        <v/>
      </c>
    </row>
    <row r="46" spans="1:12" x14ac:dyDescent="0.2">
      <c r="A46" s="5" t="str">
        <f t="shared" si="0"/>
        <v/>
      </c>
      <c r="B46" s="5" t="str">
        <f>IF('様式第1（30事業場90台）'!N90="","",'様式第1（30事業場90台）'!N90)</f>
        <v/>
      </c>
      <c r="C46" s="5" t="str">
        <f>IF('様式第1（30事業場90台）'!U90="","",'様式第1（30事業場90台）'!U90)</f>
        <v>-</v>
      </c>
      <c r="D46" s="5" t="str">
        <f>IF('様式第1（30事業場90台）'!W90="","",'様式第1（30事業場90台）'!W90)</f>
        <v/>
      </c>
      <c r="E46" s="5" t="str">
        <f>IF('様式第1（30事業場90台）'!AD90="","",'様式第1（30事業場90台）'!AD90)</f>
        <v>-</v>
      </c>
      <c r="F46" s="5" t="str">
        <f>IF('様式第1（30事業場90台）'!AF90="","",'様式第1（30事業場90台）'!AF90)</f>
        <v/>
      </c>
      <c r="G46" s="5" t="str">
        <f>IF('様式第1（30事業場90台）'!AL90="","",'様式第1（30事業場90台）'!AL90)</f>
        <v/>
      </c>
      <c r="H46" s="5" t="str">
        <f>IF('様式第1（30事業場90台）'!AN90="","",'様式第1（30事業場90台）'!AN90)</f>
        <v/>
      </c>
      <c r="I46" s="5" t="str">
        <f>IF('様式第1（30事業場90台）'!AT90="","",'様式第1（30事業場90台）'!AT90)</f>
        <v/>
      </c>
      <c r="J46" s="5">
        <f>'様式第1（30事業場90台）'!AV90</f>
        <v>0</v>
      </c>
      <c r="K46" s="5" t="str">
        <f>IF(A46="","",VLOOKUP('様式第1（30事業場90台）'!$J90,'様式第1（30事業場90台）'!$J$14:$AP$43,5,FALSE))</f>
        <v/>
      </c>
      <c r="L46" s="5" t="str">
        <f>IF(A46="","",VLOOKUP('様式第1（30事業場90台）'!$J90,'様式第1（30事業場90台）'!$J$14:$AP$43,19,FALSE))</f>
        <v/>
      </c>
    </row>
    <row r="47" spans="1:12" x14ac:dyDescent="0.2">
      <c r="A47" s="5" t="str">
        <f t="shared" si="0"/>
        <v/>
      </c>
      <c r="B47" s="5" t="str">
        <f>IF('様式第1（30事業場90台）'!N91="","",'様式第1（30事業場90台）'!N91)</f>
        <v/>
      </c>
      <c r="C47" s="5" t="str">
        <f>IF('様式第1（30事業場90台）'!U91="","",'様式第1（30事業場90台）'!U91)</f>
        <v>-</v>
      </c>
      <c r="D47" s="5" t="str">
        <f>IF('様式第1（30事業場90台）'!W91="","",'様式第1（30事業場90台）'!W91)</f>
        <v/>
      </c>
      <c r="E47" s="5" t="str">
        <f>IF('様式第1（30事業場90台）'!AD91="","",'様式第1（30事業場90台）'!AD91)</f>
        <v>-</v>
      </c>
      <c r="F47" s="5" t="str">
        <f>IF('様式第1（30事業場90台）'!AF91="","",'様式第1（30事業場90台）'!AF91)</f>
        <v/>
      </c>
      <c r="G47" s="5" t="str">
        <f>IF('様式第1（30事業場90台）'!AL91="","",'様式第1（30事業場90台）'!AL91)</f>
        <v/>
      </c>
      <c r="H47" s="5" t="str">
        <f>IF('様式第1（30事業場90台）'!AN91="","",'様式第1（30事業場90台）'!AN91)</f>
        <v/>
      </c>
      <c r="I47" s="5" t="str">
        <f>IF('様式第1（30事業場90台）'!AT91="","",'様式第1（30事業場90台）'!AT91)</f>
        <v/>
      </c>
      <c r="J47" s="5">
        <f>'様式第1（30事業場90台）'!AV91</f>
        <v>0</v>
      </c>
      <c r="K47" s="5" t="str">
        <f>IF(A47="","",VLOOKUP('様式第1（30事業場90台）'!$J91,'様式第1（30事業場90台）'!$J$14:$AP$43,5,FALSE))</f>
        <v/>
      </c>
      <c r="L47" s="5" t="str">
        <f>IF(A47="","",VLOOKUP('様式第1（30事業場90台）'!$J91,'様式第1（30事業場90台）'!$J$14:$AP$43,19,FALSE))</f>
        <v/>
      </c>
    </row>
    <row r="48" spans="1:12" x14ac:dyDescent="0.2">
      <c r="A48" s="5" t="str">
        <f t="shared" si="0"/>
        <v/>
      </c>
      <c r="B48" s="5" t="str">
        <f>IF('様式第1（30事業場90台）'!N92="","",'様式第1（30事業場90台）'!N92)</f>
        <v/>
      </c>
      <c r="C48" s="5" t="str">
        <f>IF('様式第1（30事業場90台）'!U92="","",'様式第1（30事業場90台）'!U92)</f>
        <v>-</v>
      </c>
      <c r="D48" s="5" t="str">
        <f>IF('様式第1（30事業場90台）'!W92="","",'様式第1（30事業場90台）'!W92)</f>
        <v/>
      </c>
      <c r="E48" s="5" t="str">
        <f>IF('様式第1（30事業場90台）'!AD92="","",'様式第1（30事業場90台）'!AD92)</f>
        <v>-</v>
      </c>
      <c r="F48" s="5" t="str">
        <f>IF('様式第1（30事業場90台）'!AF92="","",'様式第1（30事業場90台）'!AF92)</f>
        <v/>
      </c>
      <c r="G48" s="5" t="str">
        <f>IF('様式第1（30事業場90台）'!AL92="","",'様式第1（30事業場90台）'!AL92)</f>
        <v/>
      </c>
      <c r="H48" s="5" t="str">
        <f>IF('様式第1（30事業場90台）'!AN92="","",'様式第1（30事業場90台）'!AN92)</f>
        <v/>
      </c>
      <c r="I48" s="5" t="str">
        <f>IF('様式第1（30事業場90台）'!AT92="","",'様式第1（30事業場90台）'!AT92)</f>
        <v/>
      </c>
      <c r="J48" s="5">
        <f>'様式第1（30事業場90台）'!AV92</f>
        <v>0</v>
      </c>
      <c r="K48" s="5" t="str">
        <f>IF(A48="","",VLOOKUP('様式第1（30事業場90台）'!$J92,'様式第1（30事業場90台）'!$J$14:$AP$43,5,FALSE))</f>
        <v/>
      </c>
      <c r="L48" s="5" t="str">
        <f>IF(A48="","",VLOOKUP('様式第1（30事業場90台）'!$J92,'様式第1（30事業場90台）'!$J$14:$AP$43,19,FALSE))</f>
        <v/>
      </c>
    </row>
    <row r="49" spans="1:12" x14ac:dyDescent="0.2">
      <c r="A49" s="5" t="str">
        <f t="shared" si="0"/>
        <v/>
      </c>
      <c r="B49" s="5" t="str">
        <f>IF('様式第1（30事業場90台）'!N93="","",'様式第1（30事業場90台）'!N93)</f>
        <v/>
      </c>
      <c r="C49" s="5" t="str">
        <f>IF('様式第1（30事業場90台）'!U93="","",'様式第1（30事業場90台）'!U93)</f>
        <v>-</v>
      </c>
      <c r="D49" s="5" t="str">
        <f>IF('様式第1（30事業場90台）'!W93="","",'様式第1（30事業場90台）'!W93)</f>
        <v/>
      </c>
      <c r="E49" s="5" t="str">
        <f>IF('様式第1（30事業場90台）'!AD93="","",'様式第1（30事業場90台）'!AD93)</f>
        <v>-</v>
      </c>
      <c r="F49" s="5" t="str">
        <f>IF('様式第1（30事業場90台）'!AF93="","",'様式第1（30事業場90台）'!AF93)</f>
        <v/>
      </c>
      <c r="G49" s="5" t="str">
        <f>IF('様式第1（30事業場90台）'!AL93="","",'様式第1（30事業場90台）'!AL93)</f>
        <v/>
      </c>
      <c r="H49" s="5" t="str">
        <f>IF('様式第1（30事業場90台）'!AN93="","",'様式第1（30事業場90台）'!AN93)</f>
        <v/>
      </c>
      <c r="I49" s="5" t="str">
        <f>IF('様式第1（30事業場90台）'!AT93="","",'様式第1（30事業場90台）'!AT93)</f>
        <v/>
      </c>
      <c r="J49" s="5">
        <f>'様式第1（30事業場90台）'!AV93</f>
        <v>0</v>
      </c>
      <c r="K49" s="5" t="str">
        <f>IF(A49="","",VLOOKUP('様式第1（30事業場90台）'!$J93,'様式第1（30事業場90台）'!$J$14:$AP$43,5,FALSE))</f>
        <v/>
      </c>
      <c r="L49" s="5" t="str">
        <f>IF(A49="","",VLOOKUP('様式第1（30事業場90台）'!$J93,'様式第1（30事業場90台）'!$J$14:$AP$43,19,FALSE))</f>
        <v/>
      </c>
    </row>
    <row r="50" spans="1:12" x14ac:dyDescent="0.2">
      <c r="A50" s="5" t="str">
        <f t="shared" si="0"/>
        <v/>
      </c>
      <c r="B50" s="5" t="str">
        <f>IF('様式第1（30事業場90台）'!N94="","",'様式第1（30事業場90台）'!N94)</f>
        <v/>
      </c>
      <c r="C50" s="5" t="str">
        <f>IF('様式第1（30事業場90台）'!U94="","",'様式第1（30事業場90台）'!U94)</f>
        <v>-</v>
      </c>
      <c r="D50" s="5" t="str">
        <f>IF('様式第1（30事業場90台）'!W94="","",'様式第1（30事業場90台）'!W94)</f>
        <v/>
      </c>
      <c r="E50" s="5" t="str">
        <f>IF('様式第1（30事業場90台）'!AD94="","",'様式第1（30事業場90台）'!AD94)</f>
        <v>-</v>
      </c>
      <c r="F50" s="5" t="str">
        <f>IF('様式第1（30事業場90台）'!AF94="","",'様式第1（30事業場90台）'!AF94)</f>
        <v/>
      </c>
      <c r="G50" s="5" t="str">
        <f>IF('様式第1（30事業場90台）'!AL94="","",'様式第1（30事業場90台）'!AL94)</f>
        <v/>
      </c>
      <c r="H50" s="5" t="str">
        <f>IF('様式第1（30事業場90台）'!AN94="","",'様式第1（30事業場90台）'!AN94)</f>
        <v/>
      </c>
      <c r="I50" s="5" t="str">
        <f>IF('様式第1（30事業場90台）'!AT94="","",'様式第1（30事業場90台）'!AT94)</f>
        <v/>
      </c>
      <c r="J50" s="5">
        <f>'様式第1（30事業場90台）'!AV94</f>
        <v>0</v>
      </c>
      <c r="K50" s="5" t="str">
        <f>IF(A50="","",VLOOKUP('様式第1（30事業場90台）'!$J94,'様式第1（30事業場90台）'!$J$14:$AP$43,5,FALSE))</f>
        <v/>
      </c>
      <c r="L50" s="5" t="str">
        <f>IF(A50="","",VLOOKUP('様式第1（30事業場90台）'!$J94,'様式第1（30事業場90台）'!$J$14:$AP$43,19,FALSE))</f>
        <v/>
      </c>
    </row>
    <row r="51" spans="1:12" x14ac:dyDescent="0.2">
      <c r="A51" s="5" t="str">
        <f t="shared" si="0"/>
        <v/>
      </c>
      <c r="B51" s="5" t="str">
        <f>IF('様式第1（30事業場90台）'!N95="","",'様式第1（30事業場90台）'!N95)</f>
        <v/>
      </c>
      <c r="C51" s="5" t="str">
        <f>IF('様式第1（30事業場90台）'!U95="","",'様式第1（30事業場90台）'!U95)</f>
        <v>-</v>
      </c>
      <c r="D51" s="5" t="str">
        <f>IF('様式第1（30事業場90台）'!W95="","",'様式第1（30事業場90台）'!W95)</f>
        <v/>
      </c>
      <c r="E51" s="5" t="str">
        <f>IF('様式第1（30事業場90台）'!AD95="","",'様式第1（30事業場90台）'!AD95)</f>
        <v>-</v>
      </c>
      <c r="F51" s="5" t="str">
        <f>IF('様式第1（30事業場90台）'!AF95="","",'様式第1（30事業場90台）'!AF95)</f>
        <v/>
      </c>
      <c r="G51" s="5" t="str">
        <f>IF('様式第1（30事業場90台）'!AL95="","",'様式第1（30事業場90台）'!AL95)</f>
        <v/>
      </c>
      <c r="H51" s="5" t="str">
        <f>IF('様式第1（30事業場90台）'!AN95="","",'様式第1（30事業場90台）'!AN95)</f>
        <v/>
      </c>
      <c r="I51" s="5" t="str">
        <f>IF('様式第1（30事業場90台）'!AT95="","",'様式第1（30事業場90台）'!AT95)</f>
        <v/>
      </c>
      <c r="J51" s="5">
        <f>'様式第1（30事業場90台）'!AV95</f>
        <v>0</v>
      </c>
      <c r="K51" s="5" t="str">
        <f>IF(A51="","",VLOOKUP('様式第1（30事業場90台）'!$J95,'様式第1（30事業場90台）'!$J$14:$AP$43,5,FALSE))</f>
        <v/>
      </c>
      <c r="L51" s="5" t="str">
        <f>IF(A51="","",VLOOKUP('様式第1（30事業場90台）'!$J95,'様式第1（30事業場90台）'!$J$14:$AP$43,19,FALSE))</f>
        <v/>
      </c>
    </row>
    <row r="52" spans="1:12" x14ac:dyDescent="0.2">
      <c r="A52" s="5" t="str">
        <f t="shared" si="0"/>
        <v/>
      </c>
      <c r="B52" s="5" t="str">
        <f>IF('様式第1（30事業場90台）'!N96="","",'様式第1（30事業場90台）'!N96)</f>
        <v/>
      </c>
      <c r="C52" s="5" t="str">
        <f>IF('様式第1（30事業場90台）'!U96="","",'様式第1（30事業場90台）'!U96)</f>
        <v>-</v>
      </c>
      <c r="D52" s="5" t="str">
        <f>IF('様式第1（30事業場90台）'!W96="","",'様式第1（30事業場90台）'!W96)</f>
        <v/>
      </c>
      <c r="E52" s="5" t="str">
        <f>IF('様式第1（30事業場90台）'!AD96="","",'様式第1（30事業場90台）'!AD96)</f>
        <v>-</v>
      </c>
      <c r="F52" s="5" t="str">
        <f>IF('様式第1（30事業場90台）'!AF96="","",'様式第1（30事業場90台）'!AF96)</f>
        <v/>
      </c>
      <c r="G52" s="5" t="str">
        <f>IF('様式第1（30事業場90台）'!AL96="","",'様式第1（30事業場90台）'!AL96)</f>
        <v/>
      </c>
      <c r="H52" s="5" t="str">
        <f>IF('様式第1（30事業場90台）'!AN96="","",'様式第1（30事業場90台）'!AN96)</f>
        <v/>
      </c>
      <c r="I52" s="5" t="str">
        <f>IF('様式第1（30事業場90台）'!AT96="","",'様式第1（30事業場90台）'!AT96)</f>
        <v/>
      </c>
      <c r="J52" s="5">
        <f>'様式第1（30事業場90台）'!AV96</f>
        <v>0</v>
      </c>
      <c r="K52" s="5" t="str">
        <f>IF(A52="","",VLOOKUP('様式第1（30事業場90台）'!$J96,'様式第1（30事業場90台）'!$J$14:$AP$43,5,FALSE))</f>
        <v/>
      </c>
      <c r="L52" s="5" t="str">
        <f>IF(A52="","",VLOOKUP('様式第1（30事業場90台）'!$J96,'様式第1（30事業場90台）'!$J$14:$AP$43,19,FALSE))</f>
        <v/>
      </c>
    </row>
    <row r="53" spans="1:12" x14ac:dyDescent="0.2">
      <c r="A53" s="5" t="str">
        <f t="shared" si="0"/>
        <v/>
      </c>
      <c r="B53" s="5" t="str">
        <f>IF('様式第1（30事業場90台）'!N97="","",'様式第1（30事業場90台）'!N97)</f>
        <v/>
      </c>
      <c r="C53" s="5" t="str">
        <f>IF('様式第1（30事業場90台）'!U97="","",'様式第1（30事業場90台）'!U97)</f>
        <v>-</v>
      </c>
      <c r="D53" s="5" t="str">
        <f>IF('様式第1（30事業場90台）'!W97="","",'様式第1（30事業場90台）'!W97)</f>
        <v/>
      </c>
      <c r="E53" s="5" t="str">
        <f>IF('様式第1（30事業場90台）'!AD97="","",'様式第1（30事業場90台）'!AD97)</f>
        <v>-</v>
      </c>
      <c r="F53" s="5" t="str">
        <f>IF('様式第1（30事業場90台）'!AF97="","",'様式第1（30事業場90台）'!AF97)</f>
        <v/>
      </c>
      <c r="G53" s="5" t="str">
        <f>IF('様式第1（30事業場90台）'!AL97="","",'様式第1（30事業場90台）'!AL97)</f>
        <v/>
      </c>
      <c r="H53" s="5" t="str">
        <f>IF('様式第1（30事業場90台）'!AN97="","",'様式第1（30事業場90台）'!AN97)</f>
        <v/>
      </c>
      <c r="I53" s="5" t="str">
        <f>IF('様式第1（30事業場90台）'!AT97="","",'様式第1（30事業場90台）'!AT97)</f>
        <v/>
      </c>
      <c r="J53" s="5">
        <f>'様式第1（30事業場90台）'!AV97</f>
        <v>0</v>
      </c>
      <c r="K53" s="5" t="str">
        <f>IF(A53="","",VLOOKUP('様式第1（30事業場90台）'!$J97,'様式第1（30事業場90台）'!$J$14:$AP$43,5,FALSE))</f>
        <v/>
      </c>
      <c r="L53" s="5" t="str">
        <f>IF(A53="","",VLOOKUP('様式第1（30事業場90台）'!$J97,'様式第1（30事業場90台）'!$J$14:$AP$43,19,FALSE))</f>
        <v/>
      </c>
    </row>
    <row r="54" spans="1:12" x14ac:dyDescent="0.2">
      <c r="A54" s="5" t="str">
        <f t="shared" si="0"/>
        <v/>
      </c>
      <c r="B54" s="5" t="str">
        <f>IF('様式第1（30事業場90台）'!N98="","",'様式第1（30事業場90台）'!N98)</f>
        <v/>
      </c>
      <c r="C54" s="5" t="str">
        <f>IF('様式第1（30事業場90台）'!U98="","",'様式第1（30事業場90台）'!U98)</f>
        <v>-</v>
      </c>
      <c r="D54" s="5" t="str">
        <f>IF('様式第1（30事業場90台）'!W98="","",'様式第1（30事業場90台）'!W98)</f>
        <v/>
      </c>
      <c r="E54" s="5" t="str">
        <f>IF('様式第1（30事業場90台）'!AD98="","",'様式第1（30事業場90台）'!AD98)</f>
        <v>-</v>
      </c>
      <c r="F54" s="5" t="str">
        <f>IF('様式第1（30事業場90台）'!AF98="","",'様式第1（30事業場90台）'!AF98)</f>
        <v/>
      </c>
      <c r="G54" s="5" t="str">
        <f>IF('様式第1（30事業場90台）'!AL98="","",'様式第1（30事業場90台）'!AL98)</f>
        <v/>
      </c>
      <c r="H54" s="5" t="str">
        <f>IF('様式第1（30事業場90台）'!AN98="","",'様式第1（30事業場90台）'!AN98)</f>
        <v/>
      </c>
      <c r="I54" s="5" t="str">
        <f>IF('様式第1（30事業場90台）'!AT98="","",'様式第1（30事業場90台）'!AT98)</f>
        <v/>
      </c>
      <c r="J54" s="5">
        <f>'様式第1（30事業場90台）'!AV98</f>
        <v>0</v>
      </c>
      <c r="K54" s="5" t="str">
        <f>IF(A54="","",VLOOKUP('様式第1（30事業場90台）'!$J98,'様式第1（30事業場90台）'!$J$14:$AP$43,5,FALSE))</f>
        <v/>
      </c>
      <c r="L54" s="5" t="str">
        <f>IF(A54="","",VLOOKUP('様式第1（30事業場90台）'!$J98,'様式第1（30事業場90台）'!$J$14:$AP$43,19,FALSE))</f>
        <v/>
      </c>
    </row>
    <row r="55" spans="1:12" x14ac:dyDescent="0.2">
      <c r="A55" s="5" t="str">
        <f t="shared" si="0"/>
        <v/>
      </c>
      <c r="B55" s="5" t="str">
        <f>IF('様式第1（30事業場90台）'!N99="","",'様式第1（30事業場90台）'!N99)</f>
        <v/>
      </c>
      <c r="C55" s="5" t="str">
        <f>IF('様式第1（30事業場90台）'!U99="","",'様式第1（30事業場90台）'!U99)</f>
        <v>-</v>
      </c>
      <c r="D55" s="5" t="str">
        <f>IF('様式第1（30事業場90台）'!W99="","",'様式第1（30事業場90台）'!W99)</f>
        <v/>
      </c>
      <c r="E55" s="5" t="str">
        <f>IF('様式第1（30事業場90台）'!AD99="","",'様式第1（30事業場90台）'!AD99)</f>
        <v>-</v>
      </c>
      <c r="F55" s="5" t="str">
        <f>IF('様式第1（30事業場90台）'!AF99="","",'様式第1（30事業場90台）'!AF99)</f>
        <v/>
      </c>
      <c r="G55" s="5" t="str">
        <f>IF('様式第1（30事業場90台）'!AL99="","",'様式第1（30事業場90台）'!AL99)</f>
        <v/>
      </c>
      <c r="H55" s="5" t="str">
        <f>IF('様式第1（30事業場90台）'!AN99="","",'様式第1（30事業場90台）'!AN99)</f>
        <v/>
      </c>
      <c r="I55" s="5" t="str">
        <f>IF('様式第1（30事業場90台）'!AT99="","",'様式第1（30事業場90台）'!AT99)</f>
        <v/>
      </c>
      <c r="J55" s="5">
        <f>'様式第1（30事業場90台）'!AV99</f>
        <v>0</v>
      </c>
      <c r="K55" s="5" t="str">
        <f>IF(A55="","",VLOOKUP('様式第1（30事業場90台）'!$J99,'様式第1（30事業場90台）'!$J$14:$AP$43,5,FALSE))</f>
        <v/>
      </c>
      <c r="L55" s="5" t="str">
        <f>IF(A55="","",VLOOKUP('様式第1（30事業場90台）'!$J99,'様式第1（30事業場90台）'!$J$14:$AP$43,19,FALSE))</f>
        <v/>
      </c>
    </row>
    <row r="56" spans="1:12" x14ac:dyDescent="0.2">
      <c r="A56" s="5" t="str">
        <f t="shared" si="0"/>
        <v/>
      </c>
      <c r="B56" s="5" t="str">
        <f>IF('様式第1（30事業場90台）'!N100="","",'様式第1（30事業場90台）'!N100)</f>
        <v/>
      </c>
      <c r="C56" s="5" t="str">
        <f>IF('様式第1（30事業場90台）'!U100="","",'様式第1（30事業場90台）'!U100)</f>
        <v>-</v>
      </c>
      <c r="D56" s="5" t="str">
        <f>IF('様式第1（30事業場90台）'!W100="","",'様式第1（30事業場90台）'!W100)</f>
        <v/>
      </c>
      <c r="E56" s="5" t="str">
        <f>IF('様式第1（30事業場90台）'!AD100="","",'様式第1（30事業場90台）'!AD100)</f>
        <v>-</v>
      </c>
      <c r="F56" s="5" t="str">
        <f>IF('様式第1（30事業場90台）'!AF100="","",'様式第1（30事業場90台）'!AF100)</f>
        <v/>
      </c>
      <c r="G56" s="5" t="str">
        <f>IF('様式第1（30事業場90台）'!AL100="","",'様式第1（30事業場90台）'!AL100)</f>
        <v/>
      </c>
      <c r="H56" s="5" t="str">
        <f>IF('様式第1（30事業場90台）'!AN100="","",'様式第1（30事業場90台）'!AN100)</f>
        <v/>
      </c>
      <c r="I56" s="5" t="str">
        <f>IF('様式第1（30事業場90台）'!AT100="","",'様式第1（30事業場90台）'!AT100)</f>
        <v/>
      </c>
      <c r="J56" s="5">
        <f>'様式第1（30事業場90台）'!AV100</f>
        <v>0</v>
      </c>
      <c r="K56" s="5" t="str">
        <f>IF(A56="","",VLOOKUP('様式第1（30事業場90台）'!$J100,'様式第1（30事業場90台）'!$J$14:$AP$43,5,FALSE))</f>
        <v/>
      </c>
      <c r="L56" s="5" t="str">
        <f>IF(A56="","",VLOOKUP('様式第1（30事業場90台）'!$J100,'様式第1（30事業場90台）'!$J$14:$AP$43,19,FALSE))</f>
        <v/>
      </c>
    </row>
    <row r="57" spans="1:12" x14ac:dyDescent="0.2">
      <c r="A57" s="5" t="str">
        <f t="shared" si="0"/>
        <v/>
      </c>
      <c r="B57" s="5" t="str">
        <f>IF('様式第1（30事業場90台）'!N101="","",'様式第1（30事業場90台）'!N101)</f>
        <v/>
      </c>
      <c r="C57" s="5" t="str">
        <f>IF('様式第1（30事業場90台）'!U101="","",'様式第1（30事業場90台）'!U101)</f>
        <v>-</v>
      </c>
      <c r="D57" s="5" t="str">
        <f>IF('様式第1（30事業場90台）'!W101="","",'様式第1（30事業場90台）'!W101)</f>
        <v/>
      </c>
      <c r="E57" s="5" t="str">
        <f>IF('様式第1（30事業場90台）'!AD101="","",'様式第1（30事業場90台）'!AD101)</f>
        <v>-</v>
      </c>
      <c r="F57" s="5" t="str">
        <f>IF('様式第1（30事業場90台）'!AF101="","",'様式第1（30事業場90台）'!AF101)</f>
        <v/>
      </c>
      <c r="G57" s="5" t="str">
        <f>IF('様式第1（30事業場90台）'!AL101="","",'様式第1（30事業場90台）'!AL101)</f>
        <v/>
      </c>
      <c r="H57" s="5" t="str">
        <f>IF('様式第1（30事業場90台）'!AN101="","",'様式第1（30事業場90台）'!AN101)</f>
        <v/>
      </c>
      <c r="I57" s="5" t="str">
        <f>IF('様式第1（30事業場90台）'!AT101="","",'様式第1（30事業場90台）'!AT101)</f>
        <v/>
      </c>
      <c r="J57" s="5">
        <f>'様式第1（30事業場90台）'!AV101</f>
        <v>0</v>
      </c>
      <c r="K57" s="5" t="str">
        <f>IF(A57="","",VLOOKUP('様式第1（30事業場90台）'!$J101,'様式第1（30事業場90台）'!$J$14:$AP$43,5,FALSE))</f>
        <v/>
      </c>
      <c r="L57" s="5" t="str">
        <f>IF(A57="","",VLOOKUP('様式第1（30事業場90台）'!$J101,'様式第1（30事業場90台）'!$J$14:$AP$43,19,FALSE))</f>
        <v/>
      </c>
    </row>
    <row r="58" spans="1:12" x14ac:dyDescent="0.2">
      <c r="A58" s="5" t="str">
        <f t="shared" si="0"/>
        <v/>
      </c>
      <c r="B58" s="5" t="str">
        <f>IF('様式第1（30事業場90台）'!N102="","",'様式第1（30事業場90台）'!N102)</f>
        <v/>
      </c>
      <c r="C58" s="5" t="str">
        <f>IF('様式第1（30事業場90台）'!U102="","",'様式第1（30事業場90台）'!U102)</f>
        <v>-</v>
      </c>
      <c r="D58" s="5" t="str">
        <f>IF('様式第1（30事業場90台）'!W102="","",'様式第1（30事業場90台）'!W102)</f>
        <v/>
      </c>
      <c r="E58" s="5" t="str">
        <f>IF('様式第1（30事業場90台）'!AD102="","",'様式第1（30事業場90台）'!AD102)</f>
        <v>-</v>
      </c>
      <c r="F58" s="5" t="str">
        <f>IF('様式第1（30事業場90台）'!AF102="","",'様式第1（30事業場90台）'!AF102)</f>
        <v/>
      </c>
      <c r="G58" s="5" t="str">
        <f>IF('様式第1（30事業場90台）'!AL102="","",'様式第1（30事業場90台）'!AL102)</f>
        <v/>
      </c>
      <c r="H58" s="5" t="str">
        <f>IF('様式第1（30事業場90台）'!AN102="","",'様式第1（30事業場90台）'!AN102)</f>
        <v/>
      </c>
      <c r="I58" s="5" t="str">
        <f>IF('様式第1（30事業場90台）'!AT102="","",'様式第1（30事業場90台）'!AT102)</f>
        <v/>
      </c>
      <c r="J58" s="5">
        <f>'様式第1（30事業場90台）'!AV102</f>
        <v>0</v>
      </c>
      <c r="K58" s="5" t="str">
        <f>IF(A58="","",VLOOKUP('様式第1（30事業場90台）'!$J102,'様式第1（30事業場90台）'!$J$14:$AP$43,5,FALSE))</f>
        <v/>
      </c>
      <c r="L58" s="5" t="str">
        <f>IF(A58="","",VLOOKUP('様式第1（30事業場90台）'!$J102,'様式第1（30事業場90台）'!$J$14:$AP$43,19,FALSE))</f>
        <v/>
      </c>
    </row>
    <row r="59" spans="1:12" x14ac:dyDescent="0.2">
      <c r="A59" s="5" t="str">
        <f t="shared" si="0"/>
        <v/>
      </c>
      <c r="B59" s="5" t="str">
        <f>IF('様式第1（30事業場90台）'!N103="","",'様式第1（30事業場90台）'!N103)</f>
        <v/>
      </c>
      <c r="C59" s="5" t="str">
        <f>IF('様式第1（30事業場90台）'!U103="","",'様式第1（30事業場90台）'!U103)</f>
        <v>-</v>
      </c>
      <c r="D59" s="5" t="str">
        <f>IF('様式第1（30事業場90台）'!W103="","",'様式第1（30事業場90台）'!W103)</f>
        <v/>
      </c>
      <c r="E59" s="5" t="str">
        <f>IF('様式第1（30事業場90台）'!AD103="","",'様式第1（30事業場90台）'!AD103)</f>
        <v>-</v>
      </c>
      <c r="F59" s="5" t="str">
        <f>IF('様式第1（30事業場90台）'!AF103="","",'様式第1（30事業場90台）'!AF103)</f>
        <v/>
      </c>
      <c r="G59" s="5" t="str">
        <f>IF('様式第1（30事業場90台）'!AL103="","",'様式第1（30事業場90台）'!AL103)</f>
        <v/>
      </c>
      <c r="H59" s="5" t="str">
        <f>IF('様式第1（30事業場90台）'!AN103="","",'様式第1（30事業場90台）'!AN103)</f>
        <v/>
      </c>
      <c r="I59" s="5" t="str">
        <f>IF('様式第1（30事業場90台）'!AT103="","",'様式第1（30事業場90台）'!AT103)</f>
        <v/>
      </c>
      <c r="J59" s="5">
        <f>'様式第1（30事業場90台）'!AV103</f>
        <v>0</v>
      </c>
      <c r="K59" s="5" t="str">
        <f>IF(A59="","",VLOOKUP('様式第1（30事業場90台）'!$J103,'様式第1（30事業場90台）'!$J$14:$AP$43,5,FALSE))</f>
        <v/>
      </c>
      <c r="L59" s="5" t="str">
        <f>IF(A59="","",VLOOKUP('様式第1（30事業場90台）'!$J103,'様式第1（30事業場90台）'!$J$14:$AP$43,19,FALSE))</f>
        <v/>
      </c>
    </row>
    <row r="60" spans="1:12" x14ac:dyDescent="0.2">
      <c r="A60" s="5" t="str">
        <f t="shared" si="0"/>
        <v/>
      </c>
      <c r="B60" s="5" t="str">
        <f>IF('様式第1（30事業場90台）'!N104="","",'様式第1（30事業場90台）'!N104)</f>
        <v/>
      </c>
      <c r="C60" s="5" t="str">
        <f>IF('様式第1（30事業場90台）'!U104="","",'様式第1（30事業場90台）'!U104)</f>
        <v>-</v>
      </c>
      <c r="D60" s="5" t="str">
        <f>IF('様式第1（30事業場90台）'!W104="","",'様式第1（30事業場90台）'!W104)</f>
        <v/>
      </c>
      <c r="E60" s="5" t="str">
        <f>IF('様式第1（30事業場90台）'!AD104="","",'様式第1（30事業場90台）'!AD104)</f>
        <v>-</v>
      </c>
      <c r="F60" s="5" t="str">
        <f>IF('様式第1（30事業場90台）'!AF104="","",'様式第1（30事業場90台）'!AF104)</f>
        <v/>
      </c>
      <c r="G60" s="5" t="str">
        <f>IF('様式第1（30事業場90台）'!AL104="","",'様式第1（30事業場90台）'!AL104)</f>
        <v/>
      </c>
      <c r="H60" s="5" t="str">
        <f>IF('様式第1（30事業場90台）'!AN104="","",'様式第1（30事業場90台）'!AN104)</f>
        <v/>
      </c>
      <c r="I60" s="5" t="str">
        <f>IF('様式第1（30事業場90台）'!AT104="","",'様式第1（30事業場90台）'!AT104)</f>
        <v/>
      </c>
      <c r="J60" s="5">
        <f>'様式第1（30事業場90台）'!AV104</f>
        <v>0</v>
      </c>
      <c r="K60" s="5" t="str">
        <f>IF(A60="","",VLOOKUP('様式第1（30事業場90台）'!$J104,'様式第1（30事業場90台）'!$J$14:$AP$43,5,FALSE))</f>
        <v/>
      </c>
      <c r="L60" s="5" t="str">
        <f>IF(A60="","",VLOOKUP('様式第1（30事業場90台）'!$J104,'様式第1（30事業場90台）'!$J$14:$AP$43,19,FALSE))</f>
        <v/>
      </c>
    </row>
    <row r="61" spans="1:12" x14ac:dyDescent="0.2">
      <c r="A61" s="5" t="str">
        <f t="shared" si="0"/>
        <v/>
      </c>
      <c r="B61" s="5" t="str">
        <f>IF('様式第1（30事業場90台）'!N105="","",'様式第1（30事業場90台）'!N105)</f>
        <v/>
      </c>
      <c r="C61" s="5" t="str">
        <f>IF('様式第1（30事業場90台）'!U105="","",'様式第1（30事業場90台）'!U105)</f>
        <v>-</v>
      </c>
      <c r="D61" s="5" t="str">
        <f>IF('様式第1（30事業場90台）'!W105="","",'様式第1（30事業場90台）'!W105)</f>
        <v/>
      </c>
      <c r="E61" s="5" t="str">
        <f>IF('様式第1（30事業場90台）'!AD105="","",'様式第1（30事業場90台）'!AD105)</f>
        <v>-</v>
      </c>
      <c r="F61" s="5" t="str">
        <f>IF('様式第1（30事業場90台）'!AF105="","",'様式第1（30事業場90台）'!AF105)</f>
        <v/>
      </c>
      <c r="G61" s="5" t="str">
        <f>IF('様式第1（30事業場90台）'!AL105="","",'様式第1（30事業場90台）'!AL105)</f>
        <v/>
      </c>
      <c r="H61" s="5" t="str">
        <f>IF('様式第1（30事業場90台）'!AN105="","",'様式第1（30事業場90台）'!AN105)</f>
        <v/>
      </c>
      <c r="I61" s="5" t="str">
        <f>IF('様式第1（30事業場90台）'!AT105="","",'様式第1（30事業場90台）'!AT105)</f>
        <v/>
      </c>
      <c r="J61" s="5">
        <f>'様式第1（30事業場90台）'!AV105</f>
        <v>0</v>
      </c>
      <c r="K61" s="5" t="str">
        <f>IF(A61="","",VLOOKUP('様式第1（30事業場90台）'!$J105,'様式第1（30事業場90台）'!$J$14:$AP$43,5,FALSE))</f>
        <v/>
      </c>
      <c r="L61" s="5" t="str">
        <f>IF(A61="","",VLOOKUP('様式第1（30事業場90台）'!$J105,'様式第1（30事業場90台）'!$J$14:$AP$43,19,FALSE))</f>
        <v/>
      </c>
    </row>
    <row r="62" spans="1:12" x14ac:dyDescent="0.2">
      <c r="A62" s="5" t="str">
        <f t="shared" si="0"/>
        <v/>
      </c>
      <c r="B62" s="5" t="str">
        <f>IF('様式第1（30事業場90台）'!N106="","",'様式第1（30事業場90台）'!N106)</f>
        <v/>
      </c>
      <c r="C62" s="5" t="str">
        <f>IF('様式第1（30事業場90台）'!U106="","",'様式第1（30事業場90台）'!U106)</f>
        <v>-</v>
      </c>
      <c r="D62" s="5" t="str">
        <f>IF('様式第1（30事業場90台）'!W106="","",'様式第1（30事業場90台）'!W106)</f>
        <v/>
      </c>
      <c r="E62" s="5" t="str">
        <f>IF('様式第1（30事業場90台）'!AD106="","",'様式第1（30事業場90台）'!AD106)</f>
        <v>-</v>
      </c>
      <c r="F62" s="5" t="str">
        <f>IF('様式第1（30事業場90台）'!AF106="","",'様式第1（30事業場90台）'!AF106)</f>
        <v/>
      </c>
      <c r="G62" s="5" t="str">
        <f>IF('様式第1（30事業場90台）'!AL106="","",'様式第1（30事業場90台）'!AL106)</f>
        <v/>
      </c>
      <c r="H62" s="5" t="str">
        <f>IF('様式第1（30事業場90台）'!AN106="","",'様式第1（30事業場90台）'!AN106)</f>
        <v/>
      </c>
      <c r="I62" s="5" t="str">
        <f>IF('様式第1（30事業場90台）'!AT106="","",'様式第1（30事業場90台）'!AT106)</f>
        <v/>
      </c>
      <c r="J62" s="5">
        <f>'様式第1（30事業場90台）'!AV106</f>
        <v>0</v>
      </c>
      <c r="K62" s="5" t="str">
        <f>IF(A62="","",VLOOKUP('様式第1（30事業場90台）'!$J106,'様式第1（30事業場90台）'!$J$14:$AP$43,5,FALSE))</f>
        <v/>
      </c>
      <c r="L62" s="5" t="str">
        <f>IF(A62="","",VLOOKUP('様式第1（30事業場90台）'!$J106,'様式第1（30事業場90台）'!$J$14:$AP$43,19,FALSE))</f>
        <v/>
      </c>
    </row>
    <row r="63" spans="1:12" x14ac:dyDescent="0.2">
      <c r="A63" s="5" t="str">
        <f t="shared" si="0"/>
        <v/>
      </c>
      <c r="B63" s="5" t="str">
        <f>IF('様式第1（30事業場90台）'!N107="","",'様式第1（30事業場90台）'!N107)</f>
        <v/>
      </c>
      <c r="C63" s="5" t="str">
        <f>IF('様式第1（30事業場90台）'!U107="","",'様式第1（30事業場90台）'!U107)</f>
        <v>-</v>
      </c>
      <c r="D63" s="5" t="str">
        <f>IF('様式第1（30事業場90台）'!W107="","",'様式第1（30事業場90台）'!W107)</f>
        <v/>
      </c>
      <c r="E63" s="5" t="str">
        <f>IF('様式第1（30事業場90台）'!AD107="","",'様式第1（30事業場90台）'!AD107)</f>
        <v>-</v>
      </c>
      <c r="F63" s="5" t="str">
        <f>IF('様式第1（30事業場90台）'!AF107="","",'様式第1（30事業場90台）'!AF107)</f>
        <v/>
      </c>
      <c r="G63" s="5" t="str">
        <f>IF('様式第1（30事業場90台）'!AL107="","",'様式第1（30事業場90台）'!AL107)</f>
        <v/>
      </c>
      <c r="H63" s="5" t="str">
        <f>IF('様式第1（30事業場90台）'!AN107="","",'様式第1（30事業場90台）'!AN107)</f>
        <v/>
      </c>
      <c r="I63" s="5" t="str">
        <f>IF('様式第1（30事業場90台）'!AT107="","",'様式第1（30事業場90台）'!AT107)</f>
        <v/>
      </c>
      <c r="J63" s="5">
        <f>'様式第1（30事業場90台）'!AV107</f>
        <v>0</v>
      </c>
      <c r="K63" s="5" t="str">
        <f>IF(A63="","",VLOOKUP('様式第1（30事業場90台）'!$J107,'様式第1（30事業場90台）'!$J$14:$AP$43,5,FALSE))</f>
        <v/>
      </c>
      <c r="L63" s="5" t="str">
        <f>IF(A63="","",VLOOKUP('様式第1（30事業場90台）'!$J107,'様式第1（30事業場90台）'!$J$14:$AP$43,19,FALSE))</f>
        <v/>
      </c>
    </row>
    <row r="64" spans="1:12" x14ac:dyDescent="0.2">
      <c r="A64" s="5" t="str">
        <f t="shared" si="0"/>
        <v/>
      </c>
      <c r="B64" s="5" t="str">
        <f>IF('様式第1（30事業場90台）'!N108="","",'様式第1（30事業場90台）'!N108)</f>
        <v/>
      </c>
      <c r="C64" s="5" t="str">
        <f>IF('様式第1（30事業場90台）'!U108="","",'様式第1（30事業場90台）'!U108)</f>
        <v>-</v>
      </c>
      <c r="D64" s="5" t="str">
        <f>IF('様式第1（30事業場90台）'!W108="","",'様式第1（30事業場90台）'!W108)</f>
        <v/>
      </c>
      <c r="E64" s="5" t="str">
        <f>IF('様式第1（30事業場90台）'!AD108="","",'様式第1（30事業場90台）'!AD108)</f>
        <v>-</v>
      </c>
      <c r="F64" s="5" t="str">
        <f>IF('様式第1（30事業場90台）'!AF108="","",'様式第1（30事業場90台）'!AF108)</f>
        <v/>
      </c>
      <c r="G64" s="5" t="str">
        <f>IF('様式第1（30事業場90台）'!AL108="","",'様式第1（30事業場90台）'!AL108)</f>
        <v/>
      </c>
      <c r="H64" s="5" t="str">
        <f>IF('様式第1（30事業場90台）'!AN108="","",'様式第1（30事業場90台）'!AN108)</f>
        <v/>
      </c>
      <c r="I64" s="5" t="str">
        <f>IF('様式第1（30事業場90台）'!AT108="","",'様式第1（30事業場90台）'!AT108)</f>
        <v/>
      </c>
      <c r="J64" s="5">
        <f>'様式第1（30事業場90台）'!AV108</f>
        <v>0</v>
      </c>
      <c r="K64" s="5" t="str">
        <f>IF(A64="","",VLOOKUP('様式第1（30事業場90台）'!$J108,'様式第1（30事業場90台）'!$J$14:$AP$43,5,FALSE))</f>
        <v/>
      </c>
      <c r="L64" s="5" t="str">
        <f>IF(A64="","",VLOOKUP('様式第1（30事業場90台）'!$J108,'様式第1（30事業場90台）'!$J$14:$AP$43,19,FALSE))</f>
        <v/>
      </c>
    </row>
    <row r="65" spans="1:12" x14ac:dyDescent="0.2">
      <c r="A65" s="5" t="str">
        <f t="shared" si="0"/>
        <v/>
      </c>
      <c r="B65" s="5" t="str">
        <f>IF('様式第1（30事業場90台）'!N109="","",'様式第1（30事業場90台）'!N109)</f>
        <v/>
      </c>
      <c r="C65" s="5" t="str">
        <f>IF('様式第1（30事業場90台）'!U109="","",'様式第1（30事業場90台）'!U109)</f>
        <v>-</v>
      </c>
      <c r="D65" s="5" t="str">
        <f>IF('様式第1（30事業場90台）'!W109="","",'様式第1（30事業場90台）'!W109)</f>
        <v/>
      </c>
      <c r="E65" s="5" t="str">
        <f>IF('様式第1（30事業場90台）'!AD109="","",'様式第1（30事業場90台）'!AD109)</f>
        <v>-</v>
      </c>
      <c r="F65" s="5" t="str">
        <f>IF('様式第1（30事業場90台）'!AF109="","",'様式第1（30事業場90台）'!AF109)</f>
        <v/>
      </c>
      <c r="G65" s="5" t="str">
        <f>IF('様式第1（30事業場90台）'!AL109="","",'様式第1（30事業場90台）'!AL109)</f>
        <v/>
      </c>
      <c r="H65" s="5" t="str">
        <f>IF('様式第1（30事業場90台）'!AN109="","",'様式第1（30事業場90台）'!AN109)</f>
        <v/>
      </c>
      <c r="I65" s="5" t="str">
        <f>IF('様式第1（30事業場90台）'!AT109="","",'様式第1（30事業場90台）'!AT109)</f>
        <v/>
      </c>
      <c r="J65" s="5">
        <f>'様式第1（30事業場90台）'!AV109</f>
        <v>0</v>
      </c>
      <c r="K65" s="5" t="str">
        <f>IF(A65="","",VLOOKUP('様式第1（30事業場90台）'!$J109,'様式第1（30事業場90台）'!$J$14:$AP$43,5,FALSE))</f>
        <v/>
      </c>
      <c r="L65" s="5" t="str">
        <f>IF(A65="","",VLOOKUP('様式第1（30事業場90台）'!$J109,'様式第1（30事業場90台）'!$J$14:$AP$43,19,FALSE))</f>
        <v/>
      </c>
    </row>
    <row r="66" spans="1:12" x14ac:dyDescent="0.2">
      <c r="A66" s="5" t="str">
        <f t="shared" si="0"/>
        <v/>
      </c>
      <c r="B66" s="5" t="str">
        <f>IF('様式第1（30事業場90台）'!N110="","",'様式第1（30事業場90台）'!N110)</f>
        <v/>
      </c>
      <c r="C66" s="5" t="str">
        <f>IF('様式第1（30事業場90台）'!U110="","",'様式第1（30事業場90台）'!U110)</f>
        <v>-</v>
      </c>
      <c r="D66" s="5" t="str">
        <f>IF('様式第1（30事業場90台）'!W110="","",'様式第1（30事業場90台）'!W110)</f>
        <v/>
      </c>
      <c r="E66" s="5" t="str">
        <f>IF('様式第1（30事業場90台）'!AD110="","",'様式第1（30事業場90台）'!AD110)</f>
        <v>-</v>
      </c>
      <c r="F66" s="5" t="str">
        <f>IF('様式第1（30事業場90台）'!AF110="","",'様式第1（30事業場90台）'!AF110)</f>
        <v/>
      </c>
      <c r="G66" s="5" t="str">
        <f>IF('様式第1（30事業場90台）'!AL110="","",'様式第1（30事業場90台）'!AL110)</f>
        <v/>
      </c>
      <c r="H66" s="5" t="str">
        <f>IF('様式第1（30事業場90台）'!AN110="","",'様式第1（30事業場90台）'!AN110)</f>
        <v/>
      </c>
      <c r="I66" s="5" t="str">
        <f>IF('様式第1（30事業場90台）'!AT110="","",'様式第1（30事業場90台）'!AT110)</f>
        <v/>
      </c>
      <c r="J66" s="5">
        <f>'様式第1（30事業場90台）'!AV110</f>
        <v>0</v>
      </c>
      <c r="K66" s="5" t="str">
        <f>IF(A66="","",VLOOKUP('様式第1（30事業場90台）'!$J110,'様式第1（30事業場90台）'!$J$14:$AP$43,5,FALSE))</f>
        <v/>
      </c>
      <c r="L66" s="5" t="str">
        <f>IF(A66="","",VLOOKUP('様式第1（30事業場90台）'!$J110,'様式第1（30事業場90台）'!$J$14:$AP$43,19,FALSE))</f>
        <v/>
      </c>
    </row>
    <row r="67" spans="1:12" x14ac:dyDescent="0.2">
      <c r="A67" s="5" t="str">
        <f t="shared" si="0"/>
        <v/>
      </c>
      <c r="B67" s="5" t="str">
        <f>IF('様式第1（30事業場90台）'!N111="","",'様式第1（30事業場90台）'!N111)</f>
        <v/>
      </c>
      <c r="C67" s="5" t="str">
        <f>IF('様式第1（30事業場90台）'!U111="","",'様式第1（30事業場90台）'!U111)</f>
        <v>-</v>
      </c>
      <c r="D67" s="5" t="str">
        <f>IF('様式第1（30事業場90台）'!W111="","",'様式第1（30事業場90台）'!W111)</f>
        <v/>
      </c>
      <c r="E67" s="5" t="str">
        <f>IF('様式第1（30事業場90台）'!AD111="","",'様式第1（30事業場90台）'!AD111)</f>
        <v>-</v>
      </c>
      <c r="F67" s="5" t="str">
        <f>IF('様式第1（30事業場90台）'!AF111="","",'様式第1（30事業場90台）'!AF111)</f>
        <v/>
      </c>
      <c r="G67" s="5" t="str">
        <f>IF('様式第1（30事業場90台）'!AL111="","",'様式第1（30事業場90台）'!AL111)</f>
        <v/>
      </c>
      <c r="H67" s="5" t="str">
        <f>IF('様式第1（30事業場90台）'!AN111="","",'様式第1（30事業場90台）'!AN111)</f>
        <v/>
      </c>
      <c r="I67" s="5" t="str">
        <f>IF('様式第1（30事業場90台）'!AT111="","",'様式第1（30事業場90台）'!AT111)</f>
        <v/>
      </c>
      <c r="J67" s="5">
        <f>'様式第1（30事業場90台）'!AV111</f>
        <v>0</v>
      </c>
      <c r="K67" s="5" t="str">
        <f>IF(A67="","",VLOOKUP('様式第1（30事業場90台）'!$J111,'様式第1（30事業場90台）'!$J$14:$AP$43,5,FALSE))</f>
        <v/>
      </c>
      <c r="L67" s="5" t="str">
        <f>IF(A67="","",VLOOKUP('様式第1（30事業場90台）'!$J111,'様式第1（30事業場90台）'!$J$14:$AP$43,19,FALSE))</f>
        <v/>
      </c>
    </row>
    <row r="68" spans="1:12" x14ac:dyDescent="0.2">
      <c r="A68" s="5" t="str">
        <f t="shared" si="0"/>
        <v/>
      </c>
      <c r="B68" s="5" t="str">
        <f>IF('様式第1（30事業場90台）'!N112="","",'様式第1（30事業場90台）'!N112)</f>
        <v/>
      </c>
      <c r="C68" s="5" t="str">
        <f>IF('様式第1（30事業場90台）'!U112="","",'様式第1（30事業場90台）'!U112)</f>
        <v>-</v>
      </c>
      <c r="D68" s="5" t="str">
        <f>IF('様式第1（30事業場90台）'!W112="","",'様式第1（30事業場90台）'!W112)</f>
        <v/>
      </c>
      <c r="E68" s="5" t="str">
        <f>IF('様式第1（30事業場90台）'!AD112="","",'様式第1（30事業場90台）'!AD112)</f>
        <v>-</v>
      </c>
      <c r="F68" s="5" t="str">
        <f>IF('様式第1（30事業場90台）'!AF112="","",'様式第1（30事業場90台）'!AF112)</f>
        <v/>
      </c>
      <c r="G68" s="5" t="str">
        <f>IF('様式第1（30事業場90台）'!AL112="","",'様式第1（30事業場90台）'!AL112)</f>
        <v/>
      </c>
      <c r="H68" s="5" t="str">
        <f>IF('様式第1（30事業場90台）'!AN112="","",'様式第1（30事業場90台）'!AN112)</f>
        <v/>
      </c>
      <c r="I68" s="5" t="str">
        <f>IF('様式第1（30事業場90台）'!AT112="","",'様式第1（30事業場90台）'!AT112)</f>
        <v/>
      </c>
      <c r="J68" s="5">
        <f>'様式第1（30事業場90台）'!AV112</f>
        <v>0</v>
      </c>
      <c r="K68" s="5" t="str">
        <f>IF(A68="","",VLOOKUP('様式第1（30事業場90台）'!$J112,'様式第1（30事業場90台）'!$J$14:$AP$43,5,FALSE))</f>
        <v/>
      </c>
      <c r="L68" s="5" t="str">
        <f>IF(A68="","",VLOOKUP('様式第1（30事業場90台）'!$J112,'様式第1（30事業場90台）'!$J$14:$AP$43,19,FALSE))</f>
        <v/>
      </c>
    </row>
    <row r="69" spans="1:12" x14ac:dyDescent="0.2">
      <c r="A69" s="5" t="str">
        <f t="shared" ref="A69:A92" si="1">IF(B69&lt;&gt;"",$A$3,"")</f>
        <v/>
      </c>
      <c r="B69" s="5" t="str">
        <f>IF('様式第1（30事業場90台）'!N113="","",'様式第1（30事業場90台）'!N113)</f>
        <v/>
      </c>
      <c r="C69" s="5" t="str">
        <f>IF('様式第1（30事業場90台）'!U113="","",'様式第1（30事業場90台）'!U113)</f>
        <v>-</v>
      </c>
      <c r="D69" s="5" t="str">
        <f>IF('様式第1（30事業場90台）'!W113="","",'様式第1（30事業場90台）'!W113)</f>
        <v/>
      </c>
      <c r="E69" s="5" t="str">
        <f>IF('様式第1（30事業場90台）'!AD113="","",'様式第1（30事業場90台）'!AD113)</f>
        <v>-</v>
      </c>
      <c r="F69" s="5" t="str">
        <f>IF('様式第1（30事業場90台）'!AF113="","",'様式第1（30事業場90台）'!AF113)</f>
        <v/>
      </c>
      <c r="G69" s="5" t="str">
        <f>IF('様式第1（30事業場90台）'!AL113="","",'様式第1（30事業場90台）'!AL113)</f>
        <v/>
      </c>
      <c r="H69" s="5" t="str">
        <f>IF('様式第1（30事業場90台）'!AN113="","",'様式第1（30事業場90台）'!AN113)</f>
        <v/>
      </c>
      <c r="I69" s="5" t="str">
        <f>IF('様式第1（30事業場90台）'!AT113="","",'様式第1（30事業場90台）'!AT113)</f>
        <v/>
      </c>
      <c r="J69" s="5">
        <f>'様式第1（30事業場90台）'!AV113</f>
        <v>0</v>
      </c>
      <c r="K69" s="5" t="str">
        <f>IF(A69="","",VLOOKUP('様式第1（30事業場90台）'!$J113,'様式第1（30事業場90台）'!$J$14:$AP$43,5,FALSE))</f>
        <v/>
      </c>
      <c r="L69" s="5" t="str">
        <f>IF(A69="","",VLOOKUP('様式第1（30事業場90台）'!$J113,'様式第1（30事業場90台）'!$J$14:$AP$43,19,FALSE))</f>
        <v/>
      </c>
    </row>
    <row r="70" spans="1:12" x14ac:dyDescent="0.2">
      <c r="A70" s="5" t="str">
        <f t="shared" si="1"/>
        <v/>
      </c>
      <c r="B70" s="5" t="str">
        <f>IF('様式第1（30事業場90台）'!N114="","",'様式第1（30事業場90台）'!N114)</f>
        <v/>
      </c>
      <c r="C70" s="5" t="str">
        <f>IF('様式第1（30事業場90台）'!U114="","",'様式第1（30事業場90台）'!U114)</f>
        <v>-</v>
      </c>
      <c r="D70" s="5" t="str">
        <f>IF('様式第1（30事業場90台）'!W114="","",'様式第1（30事業場90台）'!W114)</f>
        <v/>
      </c>
      <c r="E70" s="5" t="str">
        <f>IF('様式第1（30事業場90台）'!AD114="","",'様式第1（30事業場90台）'!AD114)</f>
        <v>-</v>
      </c>
      <c r="F70" s="5" t="str">
        <f>IF('様式第1（30事業場90台）'!AF114="","",'様式第1（30事業場90台）'!AF114)</f>
        <v/>
      </c>
      <c r="G70" s="5" t="str">
        <f>IF('様式第1（30事業場90台）'!AL114="","",'様式第1（30事業場90台）'!AL114)</f>
        <v/>
      </c>
      <c r="H70" s="5" t="str">
        <f>IF('様式第1（30事業場90台）'!AN114="","",'様式第1（30事業場90台）'!AN114)</f>
        <v/>
      </c>
      <c r="I70" s="5" t="str">
        <f>IF('様式第1（30事業場90台）'!AT114="","",'様式第1（30事業場90台）'!AT114)</f>
        <v/>
      </c>
      <c r="J70" s="5">
        <f>'様式第1（30事業場90台）'!AV114</f>
        <v>0</v>
      </c>
      <c r="K70" s="5" t="str">
        <f>IF(A70="","",VLOOKUP('様式第1（30事業場90台）'!$J114,'様式第1（30事業場90台）'!$J$14:$AP$43,5,FALSE))</f>
        <v/>
      </c>
      <c r="L70" s="5" t="str">
        <f>IF(A70="","",VLOOKUP('様式第1（30事業場90台）'!$J114,'様式第1（30事業場90台）'!$J$14:$AP$43,19,FALSE))</f>
        <v/>
      </c>
    </row>
    <row r="71" spans="1:12" x14ac:dyDescent="0.2">
      <c r="A71" s="5" t="str">
        <f t="shared" si="1"/>
        <v/>
      </c>
      <c r="B71" s="5" t="str">
        <f>IF('様式第1（30事業場90台）'!N115="","",'様式第1（30事業場90台）'!N115)</f>
        <v/>
      </c>
      <c r="C71" s="5" t="str">
        <f>IF('様式第1（30事業場90台）'!U115="","",'様式第1（30事業場90台）'!U115)</f>
        <v>-</v>
      </c>
      <c r="D71" s="5" t="str">
        <f>IF('様式第1（30事業場90台）'!W115="","",'様式第1（30事業場90台）'!W115)</f>
        <v/>
      </c>
      <c r="E71" s="5" t="str">
        <f>IF('様式第1（30事業場90台）'!AD115="","",'様式第1（30事業場90台）'!AD115)</f>
        <v>-</v>
      </c>
      <c r="F71" s="5" t="str">
        <f>IF('様式第1（30事業場90台）'!AF115="","",'様式第1（30事業場90台）'!AF115)</f>
        <v/>
      </c>
      <c r="G71" s="5" t="str">
        <f>IF('様式第1（30事業場90台）'!AL115="","",'様式第1（30事業場90台）'!AL115)</f>
        <v/>
      </c>
      <c r="H71" s="5" t="str">
        <f>IF('様式第1（30事業場90台）'!AN115="","",'様式第1（30事業場90台）'!AN115)</f>
        <v/>
      </c>
      <c r="I71" s="5" t="str">
        <f>IF('様式第1（30事業場90台）'!AT115="","",'様式第1（30事業場90台）'!AT115)</f>
        <v/>
      </c>
      <c r="J71" s="5">
        <f>'様式第1（30事業場90台）'!AV115</f>
        <v>0</v>
      </c>
      <c r="K71" s="5" t="str">
        <f>IF(A71="","",VLOOKUP('様式第1（30事業場90台）'!$J115,'様式第1（30事業場90台）'!$J$14:$AP$43,5,FALSE))</f>
        <v/>
      </c>
      <c r="L71" s="5" t="str">
        <f>IF(A71="","",VLOOKUP('様式第1（30事業場90台）'!$J115,'様式第1（30事業場90台）'!$J$14:$AP$43,19,FALSE))</f>
        <v/>
      </c>
    </row>
    <row r="72" spans="1:12" x14ac:dyDescent="0.2">
      <c r="A72" s="5" t="str">
        <f t="shared" si="1"/>
        <v/>
      </c>
      <c r="B72" s="5" t="str">
        <f>IF('様式第1（30事業場90台）'!N116="","",'様式第1（30事業場90台）'!N116)</f>
        <v/>
      </c>
      <c r="C72" s="5" t="str">
        <f>IF('様式第1（30事業場90台）'!U116="","",'様式第1（30事業場90台）'!U116)</f>
        <v>-</v>
      </c>
      <c r="D72" s="5" t="str">
        <f>IF('様式第1（30事業場90台）'!W116="","",'様式第1（30事業場90台）'!W116)</f>
        <v/>
      </c>
      <c r="E72" s="5" t="str">
        <f>IF('様式第1（30事業場90台）'!AD116="","",'様式第1（30事業場90台）'!AD116)</f>
        <v>-</v>
      </c>
      <c r="F72" s="5" t="str">
        <f>IF('様式第1（30事業場90台）'!AF116="","",'様式第1（30事業場90台）'!AF116)</f>
        <v/>
      </c>
      <c r="G72" s="5" t="str">
        <f>IF('様式第1（30事業場90台）'!AL116="","",'様式第1（30事業場90台）'!AL116)</f>
        <v/>
      </c>
      <c r="H72" s="5" t="str">
        <f>IF('様式第1（30事業場90台）'!AN116="","",'様式第1（30事業場90台）'!AN116)</f>
        <v/>
      </c>
      <c r="I72" s="5" t="str">
        <f>IF('様式第1（30事業場90台）'!AT116="","",'様式第1（30事業場90台）'!AT116)</f>
        <v/>
      </c>
      <c r="J72" s="5">
        <f>'様式第1（30事業場90台）'!AV116</f>
        <v>0</v>
      </c>
      <c r="K72" s="5" t="str">
        <f>IF(A72="","",VLOOKUP('様式第1（30事業場90台）'!$J116,'様式第1（30事業場90台）'!$J$14:$AP$43,5,FALSE))</f>
        <v/>
      </c>
      <c r="L72" s="5" t="str">
        <f>IF(A72="","",VLOOKUP('様式第1（30事業場90台）'!$J116,'様式第1（30事業場90台）'!$J$14:$AP$43,19,FALSE))</f>
        <v/>
      </c>
    </row>
    <row r="73" spans="1:12" x14ac:dyDescent="0.2">
      <c r="A73" s="5" t="str">
        <f t="shared" si="1"/>
        <v/>
      </c>
      <c r="B73" s="5" t="str">
        <f>IF('様式第1（30事業場90台）'!N117="","",'様式第1（30事業場90台）'!N117)</f>
        <v/>
      </c>
      <c r="C73" s="5" t="str">
        <f>IF('様式第1（30事業場90台）'!U117="","",'様式第1（30事業場90台）'!U117)</f>
        <v>-</v>
      </c>
      <c r="D73" s="5" t="str">
        <f>IF('様式第1（30事業場90台）'!W117="","",'様式第1（30事業場90台）'!W117)</f>
        <v/>
      </c>
      <c r="E73" s="5" t="str">
        <f>IF('様式第1（30事業場90台）'!AD117="","",'様式第1（30事業場90台）'!AD117)</f>
        <v>-</v>
      </c>
      <c r="F73" s="5" t="str">
        <f>IF('様式第1（30事業場90台）'!AF117="","",'様式第1（30事業場90台）'!AF117)</f>
        <v/>
      </c>
      <c r="G73" s="5" t="str">
        <f>IF('様式第1（30事業場90台）'!AL117="","",'様式第1（30事業場90台）'!AL117)</f>
        <v/>
      </c>
      <c r="H73" s="5" t="str">
        <f>IF('様式第1（30事業場90台）'!AN117="","",'様式第1（30事業場90台）'!AN117)</f>
        <v/>
      </c>
      <c r="I73" s="5" t="str">
        <f>IF('様式第1（30事業場90台）'!AT117="","",'様式第1（30事業場90台）'!AT117)</f>
        <v/>
      </c>
      <c r="J73" s="5">
        <f>'様式第1（30事業場90台）'!AV117</f>
        <v>0</v>
      </c>
      <c r="K73" s="5" t="str">
        <f>IF(A73="","",VLOOKUP('様式第1（30事業場90台）'!$J117,'様式第1（30事業場90台）'!$J$14:$AP$43,5,FALSE))</f>
        <v/>
      </c>
      <c r="L73" s="5" t="str">
        <f>IF(A73="","",VLOOKUP('様式第1（30事業場90台）'!$J117,'様式第1（30事業場90台）'!$J$14:$AP$43,19,FALSE))</f>
        <v/>
      </c>
    </row>
    <row r="74" spans="1:12" x14ac:dyDescent="0.2">
      <c r="A74" s="5" t="str">
        <f t="shared" si="1"/>
        <v/>
      </c>
      <c r="B74" s="5" t="str">
        <f>IF('様式第1（30事業場90台）'!N118="","",'様式第1（30事業場90台）'!N118)</f>
        <v/>
      </c>
      <c r="C74" s="5" t="str">
        <f>IF('様式第1（30事業場90台）'!U118="","",'様式第1（30事業場90台）'!U118)</f>
        <v>-</v>
      </c>
      <c r="D74" s="5" t="str">
        <f>IF('様式第1（30事業場90台）'!W118="","",'様式第1（30事業場90台）'!W118)</f>
        <v/>
      </c>
      <c r="E74" s="5" t="str">
        <f>IF('様式第1（30事業場90台）'!AD118="","",'様式第1（30事業場90台）'!AD118)</f>
        <v>-</v>
      </c>
      <c r="F74" s="5" t="str">
        <f>IF('様式第1（30事業場90台）'!AF118="","",'様式第1（30事業場90台）'!AF118)</f>
        <v/>
      </c>
      <c r="G74" s="5" t="str">
        <f>IF('様式第1（30事業場90台）'!AL118="","",'様式第1（30事業場90台）'!AL118)</f>
        <v/>
      </c>
      <c r="H74" s="5" t="str">
        <f>IF('様式第1（30事業場90台）'!AN118="","",'様式第1（30事業場90台）'!AN118)</f>
        <v/>
      </c>
      <c r="I74" s="5" t="str">
        <f>IF('様式第1（30事業場90台）'!AT118="","",'様式第1（30事業場90台）'!AT118)</f>
        <v/>
      </c>
      <c r="J74" s="5">
        <f>'様式第1（30事業場90台）'!AV118</f>
        <v>0</v>
      </c>
      <c r="K74" s="5" t="str">
        <f>IF(A74="","",VLOOKUP('様式第1（30事業場90台）'!$J118,'様式第1（30事業場90台）'!$J$14:$AP$43,5,FALSE))</f>
        <v/>
      </c>
      <c r="L74" s="5" t="str">
        <f>IF(A74="","",VLOOKUP('様式第1（30事業場90台）'!$J118,'様式第1（30事業場90台）'!$J$14:$AP$43,19,FALSE))</f>
        <v/>
      </c>
    </row>
    <row r="75" spans="1:12" x14ac:dyDescent="0.2">
      <c r="A75" s="5" t="str">
        <f t="shared" si="1"/>
        <v/>
      </c>
      <c r="B75" s="5" t="str">
        <f>IF('様式第1（30事業場90台）'!N119="","",'様式第1（30事業場90台）'!N119)</f>
        <v/>
      </c>
      <c r="C75" s="5" t="str">
        <f>IF('様式第1（30事業場90台）'!U119="","",'様式第1（30事業場90台）'!U119)</f>
        <v>-</v>
      </c>
      <c r="D75" s="5" t="str">
        <f>IF('様式第1（30事業場90台）'!W119="","",'様式第1（30事業場90台）'!W119)</f>
        <v/>
      </c>
      <c r="E75" s="5" t="str">
        <f>IF('様式第1（30事業場90台）'!AD119="","",'様式第1（30事業場90台）'!AD119)</f>
        <v>-</v>
      </c>
      <c r="F75" s="5" t="str">
        <f>IF('様式第1（30事業場90台）'!AF119="","",'様式第1（30事業場90台）'!AF119)</f>
        <v/>
      </c>
      <c r="G75" s="5" t="str">
        <f>IF('様式第1（30事業場90台）'!AL119="","",'様式第1（30事業場90台）'!AL119)</f>
        <v/>
      </c>
      <c r="H75" s="5" t="str">
        <f>IF('様式第1（30事業場90台）'!AN119="","",'様式第1（30事業場90台）'!AN119)</f>
        <v/>
      </c>
      <c r="I75" s="5" t="str">
        <f>IF('様式第1（30事業場90台）'!AT119="","",'様式第1（30事業場90台）'!AT119)</f>
        <v/>
      </c>
      <c r="J75" s="5">
        <f>'様式第1（30事業場90台）'!AV119</f>
        <v>0</v>
      </c>
      <c r="K75" s="5" t="str">
        <f>IF(A75="","",VLOOKUP('様式第1（30事業場90台）'!$J119,'様式第1（30事業場90台）'!$J$14:$AP$43,5,FALSE))</f>
        <v/>
      </c>
      <c r="L75" s="5" t="str">
        <f>IF(A75="","",VLOOKUP('様式第1（30事業場90台）'!$J119,'様式第1（30事業場90台）'!$J$14:$AP$43,19,FALSE))</f>
        <v/>
      </c>
    </row>
    <row r="76" spans="1:12" x14ac:dyDescent="0.2">
      <c r="A76" s="5" t="str">
        <f t="shared" si="1"/>
        <v/>
      </c>
      <c r="B76" s="5" t="str">
        <f>IF('様式第1（30事業場90台）'!N120="","",'様式第1（30事業場90台）'!N120)</f>
        <v/>
      </c>
      <c r="C76" s="5" t="str">
        <f>IF('様式第1（30事業場90台）'!U120="","",'様式第1（30事業場90台）'!U120)</f>
        <v>-</v>
      </c>
      <c r="D76" s="5" t="str">
        <f>IF('様式第1（30事業場90台）'!W120="","",'様式第1（30事業場90台）'!W120)</f>
        <v/>
      </c>
      <c r="E76" s="5" t="str">
        <f>IF('様式第1（30事業場90台）'!AD120="","",'様式第1（30事業場90台）'!AD120)</f>
        <v>-</v>
      </c>
      <c r="F76" s="5" t="str">
        <f>IF('様式第1（30事業場90台）'!AF120="","",'様式第1（30事業場90台）'!AF120)</f>
        <v/>
      </c>
      <c r="G76" s="5" t="str">
        <f>IF('様式第1（30事業場90台）'!AL120="","",'様式第1（30事業場90台）'!AL120)</f>
        <v/>
      </c>
      <c r="H76" s="5" t="str">
        <f>IF('様式第1（30事業場90台）'!AN120="","",'様式第1（30事業場90台）'!AN120)</f>
        <v/>
      </c>
      <c r="I76" s="5" t="str">
        <f>IF('様式第1（30事業場90台）'!AT120="","",'様式第1（30事業場90台）'!AT120)</f>
        <v/>
      </c>
      <c r="J76" s="5">
        <f>'様式第1（30事業場90台）'!AV120</f>
        <v>0</v>
      </c>
      <c r="K76" s="5" t="str">
        <f>IF(A76="","",VLOOKUP('様式第1（30事業場90台）'!$J120,'様式第1（30事業場90台）'!$J$14:$AP$43,5,FALSE))</f>
        <v/>
      </c>
      <c r="L76" s="5" t="str">
        <f>IF(A76="","",VLOOKUP('様式第1（30事業場90台）'!$J120,'様式第1（30事業場90台）'!$J$14:$AP$43,19,FALSE))</f>
        <v/>
      </c>
    </row>
    <row r="77" spans="1:12" x14ac:dyDescent="0.2">
      <c r="A77" s="5" t="str">
        <f t="shared" si="1"/>
        <v/>
      </c>
      <c r="B77" s="5" t="str">
        <f>IF('様式第1（30事業場90台）'!N121="","",'様式第1（30事業場90台）'!N121)</f>
        <v/>
      </c>
      <c r="C77" s="5" t="str">
        <f>IF('様式第1（30事業場90台）'!U121="","",'様式第1（30事業場90台）'!U121)</f>
        <v>-</v>
      </c>
      <c r="D77" s="5" t="str">
        <f>IF('様式第1（30事業場90台）'!W121="","",'様式第1（30事業場90台）'!W121)</f>
        <v/>
      </c>
      <c r="E77" s="5" t="str">
        <f>IF('様式第1（30事業場90台）'!AD121="","",'様式第1（30事業場90台）'!AD121)</f>
        <v>-</v>
      </c>
      <c r="F77" s="5" t="str">
        <f>IF('様式第1（30事業場90台）'!AF121="","",'様式第1（30事業場90台）'!AF121)</f>
        <v/>
      </c>
      <c r="G77" s="5" t="str">
        <f>IF('様式第1（30事業場90台）'!AL121="","",'様式第1（30事業場90台）'!AL121)</f>
        <v/>
      </c>
      <c r="H77" s="5" t="str">
        <f>IF('様式第1（30事業場90台）'!AN121="","",'様式第1（30事業場90台）'!AN121)</f>
        <v/>
      </c>
      <c r="I77" s="5" t="str">
        <f>IF('様式第1（30事業場90台）'!AT121="","",'様式第1（30事業場90台）'!AT121)</f>
        <v/>
      </c>
      <c r="J77" s="5">
        <f>'様式第1（30事業場90台）'!AV121</f>
        <v>0</v>
      </c>
      <c r="K77" s="5" t="str">
        <f>IF(A77="","",VLOOKUP('様式第1（30事業場90台）'!$J121,'様式第1（30事業場90台）'!$J$14:$AP$43,5,FALSE))</f>
        <v/>
      </c>
      <c r="L77" s="5" t="str">
        <f>IF(A77="","",VLOOKUP('様式第1（30事業場90台）'!$J121,'様式第1（30事業場90台）'!$J$14:$AP$43,19,FALSE))</f>
        <v/>
      </c>
    </row>
    <row r="78" spans="1:12" x14ac:dyDescent="0.2">
      <c r="A78" s="5" t="str">
        <f t="shared" si="1"/>
        <v/>
      </c>
      <c r="B78" s="5" t="str">
        <f>IF('様式第1（30事業場90台）'!N122="","",'様式第1（30事業場90台）'!N122)</f>
        <v/>
      </c>
      <c r="C78" s="5" t="str">
        <f>IF('様式第1（30事業場90台）'!U122="","",'様式第1（30事業場90台）'!U122)</f>
        <v>-</v>
      </c>
      <c r="D78" s="5" t="str">
        <f>IF('様式第1（30事業場90台）'!W122="","",'様式第1（30事業場90台）'!W122)</f>
        <v/>
      </c>
      <c r="E78" s="5" t="str">
        <f>IF('様式第1（30事業場90台）'!AD122="","",'様式第1（30事業場90台）'!AD122)</f>
        <v>-</v>
      </c>
      <c r="F78" s="5" t="str">
        <f>IF('様式第1（30事業場90台）'!AF122="","",'様式第1（30事業場90台）'!AF122)</f>
        <v/>
      </c>
      <c r="G78" s="5" t="str">
        <f>IF('様式第1（30事業場90台）'!AL122="","",'様式第1（30事業場90台）'!AL122)</f>
        <v/>
      </c>
      <c r="H78" s="5" t="str">
        <f>IF('様式第1（30事業場90台）'!AN122="","",'様式第1（30事業場90台）'!AN122)</f>
        <v/>
      </c>
      <c r="I78" s="5" t="str">
        <f>IF('様式第1（30事業場90台）'!AT122="","",'様式第1（30事業場90台）'!AT122)</f>
        <v/>
      </c>
      <c r="J78" s="5">
        <f>'様式第1（30事業場90台）'!AV122</f>
        <v>0</v>
      </c>
      <c r="K78" s="5" t="str">
        <f>IF(A78="","",VLOOKUP('様式第1（30事業場90台）'!$J122,'様式第1（30事業場90台）'!$J$14:$AP$43,5,FALSE))</f>
        <v/>
      </c>
      <c r="L78" s="5" t="str">
        <f>IF(A78="","",VLOOKUP('様式第1（30事業場90台）'!$J122,'様式第1（30事業場90台）'!$J$14:$AP$43,19,FALSE))</f>
        <v/>
      </c>
    </row>
    <row r="79" spans="1:12" x14ac:dyDescent="0.2">
      <c r="A79" s="5" t="str">
        <f t="shared" si="1"/>
        <v/>
      </c>
      <c r="B79" s="5" t="str">
        <f>IF('様式第1（30事業場90台）'!N123="","",'様式第1（30事業場90台）'!N123)</f>
        <v/>
      </c>
      <c r="C79" s="5" t="str">
        <f>IF('様式第1（30事業場90台）'!U123="","",'様式第1（30事業場90台）'!U123)</f>
        <v>-</v>
      </c>
      <c r="D79" s="5" t="str">
        <f>IF('様式第1（30事業場90台）'!W123="","",'様式第1（30事業場90台）'!W123)</f>
        <v/>
      </c>
      <c r="E79" s="5" t="str">
        <f>IF('様式第1（30事業場90台）'!AD123="","",'様式第1（30事業場90台）'!AD123)</f>
        <v>-</v>
      </c>
      <c r="F79" s="5" t="str">
        <f>IF('様式第1（30事業場90台）'!AF123="","",'様式第1（30事業場90台）'!AF123)</f>
        <v/>
      </c>
      <c r="G79" s="5" t="str">
        <f>IF('様式第1（30事業場90台）'!AL123="","",'様式第1（30事業場90台）'!AL123)</f>
        <v/>
      </c>
      <c r="H79" s="5" t="str">
        <f>IF('様式第1（30事業場90台）'!AN123="","",'様式第1（30事業場90台）'!AN123)</f>
        <v/>
      </c>
      <c r="I79" s="5" t="str">
        <f>IF('様式第1（30事業場90台）'!AT123="","",'様式第1（30事業場90台）'!AT123)</f>
        <v/>
      </c>
      <c r="J79" s="5">
        <f>'様式第1（30事業場90台）'!AV123</f>
        <v>0</v>
      </c>
      <c r="K79" s="5" t="str">
        <f>IF(A79="","",VLOOKUP('様式第1（30事業場90台）'!$J123,'様式第1（30事業場90台）'!$J$14:$AP$43,5,FALSE))</f>
        <v/>
      </c>
      <c r="L79" s="5" t="str">
        <f>IF(A79="","",VLOOKUP('様式第1（30事業場90台）'!$J123,'様式第1（30事業場90台）'!$J$14:$AP$43,19,FALSE))</f>
        <v/>
      </c>
    </row>
    <row r="80" spans="1:12" x14ac:dyDescent="0.2">
      <c r="A80" s="5" t="str">
        <f t="shared" si="1"/>
        <v/>
      </c>
      <c r="B80" s="5" t="str">
        <f>IF('様式第1（30事業場90台）'!N124="","",'様式第1（30事業場90台）'!N124)</f>
        <v/>
      </c>
      <c r="C80" s="5" t="str">
        <f>IF('様式第1（30事業場90台）'!U124="","",'様式第1（30事業場90台）'!U124)</f>
        <v>-</v>
      </c>
      <c r="D80" s="5" t="str">
        <f>IF('様式第1（30事業場90台）'!W124="","",'様式第1（30事業場90台）'!W124)</f>
        <v/>
      </c>
      <c r="E80" s="5" t="str">
        <f>IF('様式第1（30事業場90台）'!AD124="","",'様式第1（30事業場90台）'!AD124)</f>
        <v>-</v>
      </c>
      <c r="F80" s="5" t="str">
        <f>IF('様式第1（30事業場90台）'!AF124="","",'様式第1（30事業場90台）'!AF124)</f>
        <v/>
      </c>
      <c r="G80" s="5" t="str">
        <f>IF('様式第1（30事業場90台）'!AL124="","",'様式第1（30事業場90台）'!AL124)</f>
        <v/>
      </c>
      <c r="H80" s="5" t="str">
        <f>IF('様式第1（30事業場90台）'!AN124="","",'様式第1（30事業場90台）'!AN124)</f>
        <v/>
      </c>
      <c r="I80" s="5" t="str">
        <f>IF('様式第1（30事業場90台）'!AT124="","",'様式第1（30事業場90台）'!AT124)</f>
        <v/>
      </c>
      <c r="J80" s="5">
        <f>'様式第1（30事業場90台）'!AV124</f>
        <v>0</v>
      </c>
      <c r="K80" s="5" t="str">
        <f>IF(A80="","",VLOOKUP('様式第1（30事業場90台）'!$J124,'様式第1（30事業場90台）'!$J$14:$AP$43,5,FALSE))</f>
        <v/>
      </c>
      <c r="L80" s="5" t="str">
        <f>IF(A80="","",VLOOKUP('様式第1（30事業場90台）'!$J124,'様式第1（30事業場90台）'!$J$14:$AP$43,19,FALSE))</f>
        <v/>
      </c>
    </row>
    <row r="81" spans="1:12" x14ac:dyDescent="0.2">
      <c r="A81" s="5" t="str">
        <f t="shared" si="1"/>
        <v/>
      </c>
      <c r="B81" s="5" t="str">
        <f>IF('様式第1（30事業場90台）'!N125="","",'様式第1（30事業場90台）'!N125)</f>
        <v/>
      </c>
      <c r="C81" s="5" t="str">
        <f>IF('様式第1（30事業場90台）'!U125="","",'様式第1（30事業場90台）'!U125)</f>
        <v>-</v>
      </c>
      <c r="D81" s="5" t="str">
        <f>IF('様式第1（30事業場90台）'!W125="","",'様式第1（30事業場90台）'!W125)</f>
        <v/>
      </c>
      <c r="E81" s="5" t="str">
        <f>IF('様式第1（30事業場90台）'!AD125="","",'様式第1（30事業場90台）'!AD125)</f>
        <v>-</v>
      </c>
      <c r="F81" s="5" t="str">
        <f>IF('様式第1（30事業場90台）'!AF125="","",'様式第1（30事業場90台）'!AF125)</f>
        <v/>
      </c>
      <c r="G81" s="5" t="str">
        <f>IF('様式第1（30事業場90台）'!AL125="","",'様式第1（30事業場90台）'!AL125)</f>
        <v/>
      </c>
      <c r="H81" s="5" t="str">
        <f>IF('様式第1（30事業場90台）'!AN125="","",'様式第1（30事業場90台）'!AN125)</f>
        <v/>
      </c>
      <c r="I81" s="5" t="str">
        <f>IF('様式第1（30事業場90台）'!AT125="","",'様式第1（30事業場90台）'!AT125)</f>
        <v/>
      </c>
      <c r="J81" s="5">
        <f>'様式第1（30事業場90台）'!AV125</f>
        <v>0</v>
      </c>
      <c r="K81" s="5" t="str">
        <f>IF(A81="","",VLOOKUP('様式第1（30事業場90台）'!$J125,'様式第1（30事業場90台）'!$J$14:$AP$43,5,FALSE))</f>
        <v/>
      </c>
      <c r="L81" s="5" t="str">
        <f>IF(A81="","",VLOOKUP('様式第1（30事業場90台）'!$J125,'様式第1（30事業場90台）'!$J$14:$AP$43,19,FALSE))</f>
        <v/>
      </c>
    </row>
    <row r="82" spans="1:12" x14ac:dyDescent="0.2">
      <c r="A82" s="5" t="str">
        <f t="shared" si="1"/>
        <v/>
      </c>
      <c r="B82" s="5" t="str">
        <f>IF('様式第1（30事業場90台）'!N126="","",'様式第1（30事業場90台）'!N126)</f>
        <v/>
      </c>
      <c r="C82" s="5" t="str">
        <f>IF('様式第1（30事業場90台）'!U126="","",'様式第1（30事業場90台）'!U126)</f>
        <v>-</v>
      </c>
      <c r="D82" s="5" t="str">
        <f>IF('様式第1（30事業場90台）'!W126="","",'様式第1（30事業場90台）'!W126)</f>
        <v/>
      </c>
      <c r="E82" s="5" t="str">
        <f>IF('様式第1（30事業場90台）'!AD126="","",'様式第1（30事業場90台）'!AD126)</f>
        <v>-</v>
      </c>
      <c r="F82" s="5" t="str">
        <f>IF('様式第1（30事業場90台）'!AF126="","",'様式第1（30事業場90台）'!AF126)</f>
        <v/>
      </c>
      <c r="G82" s="5" t="str">
        <f>IF('様式第1（30事業場90台）'!AL126="","",'様式第1（30事業場90台）'!AL126)</f>
        <v/>
      </c>
      <c r="H82" s="5" t="str">
        <f>IF('様式第1（30事業場90台）'!AN126="","",'様式第1（30事業場90台）'!AN126)</f>
        <v/>
      </c>
      <c r="I82" s="5" t="str">
        <f>IF('様式第1（30事業場90台）'!AT126="","",'様式第1（30事業場90台）'!AT126)</f>
        <v/>
      </c>
      <c r="J82" s="5">
        <f>'様式第1（30事業場90台）'!AV126</f>
        <v>0</v>
      </c>
      <c r="K82" s="5" t="str">
        <f>IF(A82="","",VLOOKUP('様式第1（30事業場90台）'!$J126,'様式第1（30事業場90台）'!$J$14:$AP$43,5,FALSE))</f>
        <v/>
      </c>
      <c r="L82" s="5" t="str">
        <f>IF(A82="","",VLOOKUP('様式第1（30事業場90台）'!$J126,'様式第1（30事業場90台）'!$J$14:$AP$43,19,FALSE))</f>
        <v/>
      </c>
    </row>
    <row r="83" spans="1:12" x14ac:dyDescent="0.2">
      <c r="A83" s="5" t="str">
        <f t="shared" si="1"/>
        <v/>
      </c>
      <c r="B83" s="5" t="str">
        <f>IF('様式第1（30事業場90台）'!N127="","",'様式第1（30事業場90台）'!N127)</f>
        <v/>
      </c>
      <c r="C83" s="5" t="str">
        <f>IF('様式第1（30事業場90台）'!U127="","",'様式第1（30事業場90台）'!U127)</f>
        <v>-</v>
      </c>
      <c r="D83" s="5" t="str">
        <f>IF('様式第1（30事業場90台）'!W127="","",'様式第1（30事業場90台）'!W127)</f>
        <v/>
      </c>
      <c r="E83" s="5" t="str">
        <f>IF('様式第1（30事業場90台）'!AD127="","",'様式第1（30事業場90台）'!AD127)</f>
        <v>-</v>
      </c>
      <c r="F83" s="5" t="str">
        <f>IF('様式第1（30事業場90台）'!AF127="","",'様式第1（30事業場90台）'!AF127)</f>
        <v/>
      </c>
      <c r="G83" s="5" t="str">
        <f>IF('様式第1（30事業場90台）'!AL127="","",'様式第1（30事業場90台）'!AL127)</f>
        <v/>
      </c>
      <c r="H83" s="5" t="str">
        <f>IF('様式第1（30事業場90台）'!AN127="","",'様式第1（30事業場90台）'!AN127)</f>
        <v/>
      </c>
      <c r="I83" s="5" t="str">
        <f>IF('様式第1（30事業場90台）'!AT127="","",'様式第1（30事業場90台）'!AT127)</f>
        <v/>
      </c>
      <c r="J83" s="5">
        <f>'様式第1（30事業場90台）'!AV127</f>
        <v>0</v>
      </c>
      <c r="K83" s="5" t="str">
        <f>IF(A83="","",VLOOKUP('様式第1（30事業場90台）'!$J127,'様式第1（30事業場90台）'!$J$14:$AP$43,5,FALSE))</f>
        <v/>
      </c>
      <c r="L83" s="5" t="str">
        <f>IF(A83="","",VLOOKUP('様式第1（30事業場90台）'!$J127,'様式第1（30事業場90台）'!$J$14:$AP$43,19,FALSE))</f>
        <v/>
      </c>
    </row>
    <row r="84" spans="1:12" x14ac:dyDescent="0.2">
      <c r="A84" s="5" t="str">
        <f t="shared" si="1"/>
        <v/>
      </c>
      <c r="B84" s="5" t="str">
        <f>IF('様式第1（30事業場90台）'!N128="","",'様式第1（30事業場90台）'!N128)</f>
        <v/>
      </c>
      <c r="C84" s="5" t="str">
        <f>IF('様式第1（30事業場90台）'!U128="","",'様式第1（30事業場90台）'!U128)</f>
        <v>-</v>
      </c>
      <c r="D84" s="5" t="str">
        <f>IF('様式第1（30事業場90台）'!W128="","",'様式第1（30事業場90台）'!W128)</f>
        <v/>
      </c>
      <c r="E84" s="5" t="str">
        <f>IF('様式第1（30事業場90台）'!AD128="","",'様式第1（30事業場90台）'!AD128)</f>
        <v>-</v>
      </c>
      <c r="F84" s="5" t="str">
        <f>IF('様式第1（30事業場90台）'!AF128="","",'様式第1（30事業場90台）'!AF128)</f>
        <v/>
      </c>
      <c r="G84" s="5" t="str">
        <f>IF('様式第1（30事業場90台）'!AL128="","",'様式第1（30事業場90台）'!AL128)</f>
        <v/>
      </c>
      <c r="H84" s="5" t="str">
        <f>IF('様式第1（30事業場90台）'!AN128="","",'様式第1（30事業場90台）'!AN128)</f>
        <v/>
      </c>
      <c r="I84" s="5" t="str">
        <f>IF('様式第1（30事業場90台）'!AT128="","",'様式第1（30事業場90台）'!AT128)</f>
        <v/>
      </c>
      <c r="J84" s="5">
        <f>'様式第1（30事業場90台）'!AV128</f>
        <v>0</v>
      </c>
      <c r="K84" s="5" t="str">
        <f>IF(A84="","",VLOOKUP('様式第1（30事業場90台）'!$J128,'様式第1（30事業場90台）'!$J$14:$AP$43,5,FALSE))</f>
        <v/>
      </c>
      <c r="L84" s="5" t="str">
        <f>IF(A84="","",VLOOKUP('様式第1（30事業場90台）'!$J128,'様式第1（30事業場90台）'!$J$14:$AP$43,19,FALSE))</f>
        <v/>
      </c>
    </row>
    <row r="85" spans="1:12" x14ac:dyDescent="0.2">
      <c r="A85" s="5" t="str">
        <f t="shared" si="1"/>
        <v/>
      </c>
      <c r="B85" s="5" t="str">
        <f>IF('様式第1（30事業場90台）'!N129="","",'様式第1（30事業場90台）'!N129)</f>
        <v/>
      </c>
      <c r="C85" s="5" t="str">
        <f>IF('様式第1（30事業場90台）'!U129="","",'様式第1（30事業場90台）'!U129)</f>
        <v>-</v>
      </c>
      <c r="D85" s="5" t="str">
        <f>IF('様式第1（30事業場90台）'!W129="","",'様式第1（30事業場90台）'!W129)</f>
        <v/>
      </c>
      <c r="E85" s="5" t="str">
        <f>IF('様式第1（30事業場90台）'!AD129="","",'様式第1（30事業場90台）'!AD129)</f>
        <v>-</v>
      </c>
      <c r="F85" s="5" t="str">
        <f>IF('様式第1（30事業場90台）'!AF129="","",'様式第1（30事業場90台）'!AF129)</f>
        <v/>
      </c>
      <c r="G85" s="5" t="str">
        <f>IF('様式第1（30事業場90台）'!AL129="","",'様式第1（30事業場90台）'!AL129)</f>
        <v/>
      </c>
      <c r="H85" s="5" t="str">
        <f>IF('様式第1（30事業場90台）'!AN129="","",'様式第1（30事業場90台）'!AN129)</f>
        <v/>
      </c>
      <c r="I85" s="5" t="str">
        <f>IF('様式第1（30事業場90台）'!AT129="","",'様式第1（30事業場90台）'!AT129)</f>
        <v/>
      </c>
      <c r="J85" s="5">
        <f>'様式第1（30事業場90台）'!AV129</f>
        <v>0</v>
      </c>
      <c r="K85" s="5" t="str">
        <f>IF(A85="","",VLOOKUP('様式第1（30事業場90台）'!$J129,'様式第1（30事業場90台）'!$J$14:$AP$43,5,FALSE))</f>
        <v/>
      </c>
      <c r="L85" s="5" t="str">
        <f>IF(A85="","",VLOOKUP('様式第1（30事業場90台）'!$J129,'様式第1（30事業場90台）'!$J$14:$AP$43,19,FALSE))</f>
        <v/>
      </c>
    </row>
    <row r="86" spans="1:12" x14ac:dyDescent="0.2">
      <c r="A86" s="5" t="str">
        <f t="shared" si="1"/>
        <v/>
      </c>
      <c r="B86" s="5" t="str">
        <f>IF('様式第1（30事業場90台）'!N130="","",'様式第1（30事業場90台）'!N130)</f>
        <v/>
      </c>
      <c r="C86" s="5" t="str">
        <f>IF('様式第1（30事業場90台）'!U130="","",'様式第1（30事業場90台）'!U130)</f>
        <v>-</v>
      </c>
      <c r="D86" s="5" t="str">
        <f>IF('様式第1（30事業場90台）'!W130="","",'様式第1（30事業場90台）'!W130)</f>
        <v/>
      </c>
      <c r="E86" s="5" t="str">
        <f>IF('様式第1（30事業場90台）'!AD130="","",'様式第1（30事業場90台）'!AD130)</f>
        <v>-</v>
      </c>
      <c r="F86" s="5" t="str">
        <f>IF('様式第1（30事業場90台）'!AF130="","",'様式第1（30事業場90台）'!AF130)</f>
        <v/>
      </c>
      <c r="G86" s="5" t="str">
        <f>IF('様式第1（30事業場90台）'!AL130="","",'様式第1（30事業場90台）'!AL130)</f>
        <v/>
      </c>
      <c r="H86" s="5" t="str">
        <f>IF('様式第1（30事業場90台）'!AN130="","",'様式第1（30事業場90台）'!AN130)</f>
        <v/>
      </c>
      <c r="I86" s="5" t="str">
        <f>IF('様式第1（30事業場90台）'!AT130="","",'様式第1（30事業場90台）'!AT130)</f>
        <v/>
      </c>
      <c r="J86" s="5">
        <f>'様式第1（30事業場90台）'!AV130</f>
        <v>0</v>
      </c>
      <c r="K86" s="5" t="str">
        <f>IF(A86="","",VLOOKUP('様式第1（30事業場90台）'!$J130,'様式第1（30事業場90台）'!$J$14:$AP$43,5,FALSE))</f>
        <v/>
      </c>
      <c r="L86" s="5" t="str">
        <f>IF(A86="","",VLOOKUP('様式第1（30事業場90台）'!$J130,'様式第1（30事業場90台）'!$J$14:$AP$43,19,FALSE))</f>
        <v/>
      </c>
    </row>
    <row r="87" spans="1:12" x14ac:dyDescent="0.2">
      <c r="A87" s="5" t="str">
        <f t="shared" si="1"/>
        <v/>
      </c>
      <c r="B87" s="5" t="str">
        <f>IF('様式第1（30事業場90台）'!N131="","",'様式第1（30事業場90台）'!N131)</f>
        <v/>
      </c>
      <c r="C87" s="5" t="str">
        <f>IF('様式第1（30事業場90台）'!U131="","",'様式第1（30事業場90台）'!U131)</f>
        <v>-</v>
      </c>
      <c r="D87" s="5" t="str">
        <f>IF('様式第1（30事業場90台）'!W131="","",'様式第1（30事業場90台）'!W131)</f>
        <v/>
      </c>
      <c r="E87" s="5" t="str">
        <f>IF('様式第1（30事業場90台）'!AD131="","",'様式第1（30事業場90台）'!AD131)</f>
        <v>-</v>
      </c>
      <c r="F87" s="5" t="str">
        <f>IF('様式第1（30事業場90台）'!AF131="","",'様式第1（30事業場90台）'!AF131)</f>
        <v/>
      </c>
      <c r="G87" s="5" t="str">
        <f>IF('様式第1（30事業場90台）'!AL131="","",'様式第1（30事業場90台）'!AL131)</f>
        <v/>
      </c>
      <c r="H87" s="5" t="str">
        <f>IF('様式第1（30事業場90台）'!AN131="","",'様式第1（30事業場90台）'!AN131)</f>
        <v/>
      </c>
      <c r="I87" s="5" t="str">
        <f>IF('様式第1（30事業場90台）'!AT131="","",'様式第1（30事業場90台）'!AT131)</f>
        <v/>
      </c>
      <c r="J87" s="5">
        <f>'様式第1（30事業場90台）'!AV131</f>
        <v>0</v>
      </c>
      <c r="K87" s="5" t="str">
        <f>IF(A87="","",VLOOKUP('様式第1（30事業場90台）'!$J131,'様式第1（30事業場90台）'!$J$14:$AP$43,5,FALSE))</f>
        <v/>
      </c>
      <c r="L87" s="5" t="str">
        <f>IF(A87="","",VLOOKUP('様式第1（30事業場90台）'!$J131,'様式第1（30事業場90台）'!$J$14:$AP$43,19,FALSE))</f>
        <v/>
      </c>
    </row>
    <row r="88" spans="1:12" x14ac:dyDescent="0.2">
      <c r="A88" s="5" t="str">
        <f t="shared" si="1"/>
        <v/>
      </c>
      <c r="B88" s="5" t="str">
        <f>IF('様式第1（30事業場90台）'!N132="","",'様式第1（30事業場90台）'!N132)</f>
        <v/>
      </c>
      <c r="C88" s="5" t="str">
        <f>IF('様式第1（30事業場90台）'!U132="","",'様式第1（30事業場90台）'!U132)</f>
        <v>-</v>
      </c>
      <c r="D88" s="5" t="str">
        <f>IF('様式第1（30事業場90台）'!W132="","",'様式第1（30事業場90台）'!W132)</f>
        <v/>
      </c>
      <c r="E88" s="5" t="str">
        <f>IF('様式第1（30事業場90台）'!AD132="","",'様式第1（30事業場90台）'!AD132)</f>
        <v>-</v>
      </c>
      <c r="F88" s="5" t="str">
        <f>IF('様式第1（30事業場90台）'!AF132="","",'様式第1（30事業場90台）'!AF132)</f>
        <v/>
      </c>
      <c r="G88" s="5" t="str">
        <f>IF('様式第1（30事業場90台）'!AL132="","",'様式第1（30事業場90台）'!AL132)</f>
        <v/>
      </c>
      <c r="H88" s="5" t="str">
        <f>IF('様式第1（30事業場90台）'!AN132="","",'様式第1（30事業場90台）'!AN132)</f>
        <v/>
      </c>
      <c r="I88" s="5" t="str">
        <f>IF('様式第1（30事業場90台）'!AT132="","",'様式第1（30事業場90台）'!AT132)</f>
        <v/>
      </c>
      <c r="J88" s="5">
        <f>'様式第1（30事業場90台）'!AV132</f>
        <v>0</v>
      </c>
      <c r="K88" s="5" t="str">
        <f>IF(A88="","",VLOOKUP('様式第1（30事業場90台）'!$J132,'様式第1（30事業場90台）'!$J$14:$AP$43,5,FALSE))</f>
        <v/>
      </c>
      <c r="L88" s="5" t="str">
        <f>IF(A88="","",VLOOKUP('様式第1（30事業場90台）'!$J132,'様式第1（30事業場90台）'!$J$14:$AP$43,19,FALSE))</f>
        <v/>
      </c>
    </row>
    <row r="89" spans="1:12" x14ac:dyDescent="0.2">
      <c r="A89" s="5" t="str">
        <f t="shared" si="1"/>
        <v/>
      </c>
      <c r="B89" s="5" t="str">
        <f>IF('様式第1（30事業場90台）'!N133="","",'様式第1（30事業場90台）'!N133)</f>
        <v/>
      </c>
      <c r="C89" s="5" t="str">
        <f>IF('様式第1（30事業場90台）'!U133="","",'様式第1（30事業場90台）'!U133)</f>
        <v>-</v>
      </c>
      <c r="D89" s="5" t="str">
        <f>IF('様式第1（30事業場90台）'!W133="","",'様式第1（30事業場90台）'!W133)</f>
        <v/>
      </c>
      <c r="E89" s="5" t="str">
        <f>IF('様式第1（30事業場90台）'!AD133="","",'様式第1（30事業場90台）'!AD133)</f>
        <v>-</v>
      </c>
      <c r="F89" s="5" t="str">
        <f>IF('様式第1（30事業場90台）'!AF133="","",'様式第1（30事業場90台）'!AF133)</f>
        <v/>
      </c>
      <c r="G89" s="5" t="str">
        <f>IF('様式第1（30事業場90台）'!AL133="","",'様式第1（30事業場90台）'!AL133)</f>
        <v/>
      </c>
      <c r="H89" s="5" t="str">
        <f>IF('様式第1（30事業場90台）'!AN133="","",'様式第1（30事業場90台）'!AN133)</f>
        <v/>
      </c>
      <c r="I89" s="5" t="str">
        <f>IF('様式第1（30事業場90台）'!AT133="","",'様式第1（30事業場90台）'!AT133)</f>
        <v/>
      </c>
      <c r="J89" s="5">
        <f>'様式第1（30事業場90台）'!AV133</f>
        <v>0</v>
      </c>
      <c r="K89" s="5" t="str">
        <f>IF(A89="","",VLOOKUP('様式第1（30事業場90台）'!$J133,'様式第1（30事業場90台）'!$J$14:$AP$43,5,FALSE))</f>
        <v/>
      </c>
      <c r="L89" s="5" t="str">
        <f>IF(A89="","",VLOOKUP('様式第1（30事業場90台）'!$J133,'様式第1（30事業場90台）'!$J$14:$AP$43,19,FALSE))</f>
        <v/>
      </c>
    </row>
    <row r="90" spans="1:12" x14ac:dyDescent="0.2">
      <c r="A90" s="5" t="str">
        <f t="shared" si="1"/>
        <v/>
      </c>
      <c r="B90" s="5" t="str">
        <f>IF('様式第1（30事業場90台）'!N134="","",'様式第1（30事業場90台）'!N134)</f>
        <v/>
      </c>
      <c r="C90" s="5" t="str">
        <f>IF('様式第1（30事業場90台）'!U134="","",'様式第1（30事業場90台）'!U134)</f>
        <v>-</v>
      </c>
      <c r="D90" s="5" t="str">
        <f>IF('様式第1（30事業場90台）'!W134="","",'様式第1（30事業場90台）'!W134)</f>
        <v/>
      </c>
      <c r="E90" s="5" t="str">
        <f>IF('様式第1（30事業場90台）'!AD134="","",'様式第1（30事業場90台）'!AD134)</f>
        <v>-</v>
      </c>
      <c r="F90" s="5" t="str">
        <f>IF('様式第1（30事業場90台）'!AF134="","",'様式第1（30事業場90台）'!AF134)</f>
        <v/>
      </c>
      <c r="G90" s="5" t="str">
        <f>IF('様式第1（30事業場90台）'!AL134="","",'様式第1（30事業場90台）'!AL134)</f>
        <v/>
      </c>
      <c r="H90" s="5" t="str">
        <f>IF('様式第1（30事業場90台）'!AN134="","",'様式第1（30事業場90台）'!AN134)</f>
        <v/>
      </c>
      <c r="I90" s="5" t="str">
        <f>IF('様式第1（30事業場90台）'!AT134="","",'様式第1（30事業場90台）'!AT134)</f>
        <v/>
      </c>
      <c r="J90" s="5">
        <f>'様式第1（30事業場90台）'!AV134</f>
        <v>0</v>
      </c>
      <c r="K90" s="5" t="str">
        <f>IF(A90="","",VLOOKUP('様式第1（30事業場90台）'!$J134,'様式第1（30事業場90台）'!$J$14:$AP$43,5,FALSE))</f>
        <v/>
      </c>
      <c r="L90" s="5" t="str">
        <f>IF(A90="","",VLOOKUP('様式第1（30事業場90台）'!$J134,'様式第1（30事業場90台）'!$J$14:$AP$43,19,FALSE))</f>
        <v/>
      </c>
    </row>
    <row r="91" spans="1:12" x14ac:dyDescent="0.2">
      <c r="A91" s="5" t="str">
        <f t="shared" si="1"/>
        <v/>
      </c>
      <c r="B91" s="5" t="str">
        <f>IF('様式第1（30事業場90台）'!N135="","",'様式第1（30事業場90台）'!N135)</f>
        <v/>
      </c>
      <c r="C91" s="5" t="str">
        <f>IF('様式第1（30事業場90台）'!U135="","",'様式第1（30事業場90台）'!U135)</f>
        <v>-</v>
      </c>
      <c r="D91" s="5" t="str">
        <f>IF('様式第1（30事業場90台）'!W135="","",'様式第1（30事業場90台）'!W135)</f>
        <v/>
      </c>
      <c r="E91" s="5" t="str">
        <f>IF('様式第1（30事業場90台）'!AD135="","",'様式第1（30事業場90台）'!AD135)</f>
        <v>-</v>
      </c>
      <c r="F91" s="5" t="str">
        <f>IF('様式第1（30事業場90台）'!AF135="","",'様式第1（30事業場90台）'!AF135)</f>
        <v/>
      </c>
      <c r="G91" s="5" t="str">
        <f>IF('様式第1（30事業場90台）'!AL135="","",'様式第1（30事業場90台）'!AL135)</f>
        <v/>
      </c>
      <c r="H91" s="5" t="str">
        <f>IF('様式第1（30事業場90台）'!AN135="","",'様式第1（30事業場90台）'!AN135)</f>
        <v/>
      </c>
      <c r="I91" s="5" t="str">
        <f>IF('様式第1（30事業場90台）'!AT135="","",'様式第1（30事業場90台）'!AT135)</f>
        <v/>
      </c>
      <c r="J91" s="5">
        <f>'様式第1（30事業場90台）'!AV135</f>
        <v>0</v>
      </c>
      <c r="K91" s="5" t="str">
        <f>IF(A91="","",VLOOKUP('様式第1（30事業場90台）'!$J135,'様式第1（30事業場90台）'!$J$14:$AP$43,5,FALSE))</f>
        <v/>
      </c>
      <c r="L91" s="5" t="str">
        <f>IF(A91="","",VLOOKUP('様式第1（30事業場90台）'!$J135,'様式第1（30事業場90台）'!$J$14:$AP$43,19,FALSE))</f>
        <v/>
      </c>
    </row>
    <row r="92" spans="1:12" x14ac:dyDescent="0.2">
      <c r="A92" s="5" t="str">
        <f t="shared" si="1"/>
        <v/>
      </c>
      <c r="B92" s="5" t="str">
        <f>IF('様式第1（30事業場90台）'!N136="","",'様式第1（30事業場90台）'!N136)</f>
        <v/>
      </c>
      <c r="C92" s="5" t="str">
        <f>IF('様式第1（30事業場90台）'!U136="","",'様式第1（30事業場90台）'!U136)</f>
        <v>-</v>
      </c>
      <c r="D92" s="5" t="str">
        <f>IF('様式第1（30事業場90台）'!W136="","",'様式第1（30事業場90台）'!W136)</f>
        <v/>
      </c>
      <c r="E92" s="5" t="str">
        <f>IF('様式第1（30事業場90台）'!AD136="","",'様式第1（30事業場90台）'!AD136)</f>
        <v>-</v>
      </c>
      <c r="F92" s="5" t="str">
        <f>IF('様式第1（30事業場90台）'!AF136="","",'様式第1（30事業場90台）'!AF136)</f>
        <v/>
      </c>
      <c r="G92" s="5" t="str">
        <f>IF('様式第1（30事業場90台）'!AL136="","",'様式第1（30事業場90台）'!AL136)</f>
        <v/>
      </c>
      <c r="H92" s="5" t="str">
        <f>IF('様式第1（30事業場90台）'!AN136="","",'様式第1（30事業場90台）'!AN136)</f>
        <v/>
      </c>
      <c r="I92" s="5" t="str">
        <f>IF('様式第1（30事業場90台）'!AT136="","",'様式第1（30事業場90台）'!AT136)</f>
        <v/>
      </c>
      <c r="J92" s="5">
        <f>'様式第1（30事業場90台）'!AV136</f>
        <v>0</v>
      </c>
      <c r="K92" s="5" t="str">
        <f>IF(A92="","",VLOOKUP('様式第1（30事業場90台）'!$J136,'様式第1（30事業場90台）'!$J$14:$AP$43,5,FALSE))</f>
        <v/>
      </c>
      <c r="L92" s="5" t="str">
        <f>IF(A92="","",VLOOKUP('様式第1（30事業場90台）'!$J136,'様式第1（30事業場90台）'!$J$14:$AP$43,19,FALSE))</f>
        <v/>
      </c>
    </row>
  </sheetData>
  <phoneticPr fontId="6"/>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1"/>
  </sheetPr>
  <dimension ref="A1:AL402"/>
  <sheetViews>
    <sheetView zoomScale="115" zoomScaleNormal="115" workbookViewId="0"/>
  </sheetViews>
  <sheetFormatPr defaultRowHeight="13.2" x14ac:dyDescent="0.2"/>
  <cols>
    <col min="2" max="2" width="13.88671875" customWidth="1"/>
    <col min="3" max="3" width="25.77734375" customWidth="1"/>
    <col min="4" max="5" width="13.44140625" customWidth="1"/>
    <col min="6" max="7" width="13.88671875" customWidth="1"/>
    <col min="8" max="11" width="9.109375" customWidth="1"/>
    <col min="12" max="17" width="13.88671875" customWidth="1"/>
    <col min="18" max="19" width="12.6640625" customWidth="1"/>
    <col min="20" max="21" width="14.88671875" customWidth="1"/>
    <col min="22" max="22" width="11.44140625" customWidth="1"/>
    <col min="23" max="23" width="9" customWidth="1"/>
    <col min="24" max="24" width="42.109375" customWidth="1"/>
    <col min="25" max="29" width="9" customWidth="1"/>
    <col min="30" max="30" width="3.77734375" customWidth="1"/>
    <col min="34" max="34" width="10.77734375" bestFit="1" customWidth="1"/>
    <col min="35" max="35" width="13.44140625" bestFit="1" customWidth="1"/>
    <col min="36" max="36" width="10.77734375" bestFit="1" customWidth="1"/>
    <col min="37" max="37" width="8.77734375" bestFit="1" customWidth="1"/>
  </cols>
  <sheetData>
    <row r="1" spans="2:28" ht="37.5" customHeight="1" x14ac:dyDescent="0.2">
      <c r="B1" s="30" t="s">
        <v>137</v>
      </c>
      <c r="C1" s="36" t="s">
        <v>138</v>
      </c>
      <c r="D1" s="37"/>
      <c r="E1" s="38"/>
      <c r="F1" s="44" t="str">
        <f ca="1">IF(COUNTIF(W2:W382,"NG")=0,"OK","NG")</f>
        <v>NG</v>
      </c>
      <c r="U1" t="s">
        <v>139</v>
      </c>
      <c r="V1" t="s">
        <v>140</v>
      </c>
      <c r="W1" s="31" t="s">
        <v>141</v>
      </c>
      <c r="X1" s="11" t="s">
        <v>142</v>
      </c>
      <c r="Y1" s="43" t="s">
        <v>143</v>
      </c>
      <c r="Z1" s="33" t="s">
        <v>144</v>
      </c>
      <c r="AA1" s="4" t="s">
        <v>145</v>
      </c>
    </row>
    <row r="2" spans="2:28" ht="26.4" x14ac:dyDescent="0.2">
      <c r="B2" s="5" t="s">
        <v>155</v>
      </c>
      <c r="C2" s="5" t="s">
        <v>146</v>
      </c>
      <c r="D2" s="9" t="s">
        <v>156</v>
      </c>
      <c r="E2" s="5" t="s">
        <v>147</v>
      </c>
      <c r="F2" s="5" t="s">
        <v>148</v>
      </c>
      <c r="G2" s="5" t="s">
        <v>149</v>
      </c>
      <c r="I2" s="39"/>
      <c r="J2" s="40"/>
      <c r="K2" s="39"/>
      <c r="W2" s="41"/>
      <c r="X2" s="11" t="s">
        <v>150</v>
      </c>
      <c r="Y2" s="43" t="s">
        <v>143</v>
      </c>
      <c r="Z2" s="33" t="s">
        <v>144</v>
      </c>
    </row>
    <row r="3" spans="2:28" x14ac:dyDescent="0.2">
      <c r="B3" s="5" t="s">
        <v>157</v>
      </c>
      <c r="C3" s="5" t="s">
        <v>21</v>
      </c>
      <c r="D3" s="4" t="s">
        <v>154</v>
      </c>
      <c r="E3" s="4"/>
      <c r="F3" s="4"/>
      <c r="G3" s="13">
        <f>IFERROR(VALUE(TRIM(CLEAN(入力シート!$F22))),0)</f>
        <v>0</v>
      </c>
      <c r="W3" s="41" t="str">
        <f t="shared" ref="W3:W8" ca="1" si="0">IF(X3="OK",X3,"NG")</f>
        <v>NG</v>
      </c>
      <c r="X3" t="str">
        <f t="shared" ref="X3:X8" ca="1" si="1">IF(Y3=0,IF(Z3&lt;&gt;0,OFFSET(AA3,0,Z3),$V$1),AA3)</f>
        <v>事業場数を選択してください。</v>
      </c>
      <c r="Y3">
        <f>IF(G3&lt;&gt;0,0,1)</f>
        <v>1</v>
      </c>
      <c r="AA3" t="str">
        <f>C3&amp;"を選択してください。"</f>
        <v>事業場数を選択してください。</v>
      </c>
    </row>
    <row r="4" spans="2:28" x14ac:dyDescent="0.2">
      <c r="B4" s="5">
        <v>1</v>
      </c>
      <c r="C4" s="5" t="s">
        <v>23</v>
      </c>
      <c r="D4" s="4">
        <v>1</v>
      </c>
      <c r="E4" s="34" t="str">
        <f>DBCS(入力シート!$F31)</f>
        <v/>
      </c>
      <c r="F4" s="4" t="str">
        <f>SUBSTITUTE(SUBSTITUTE(SUBSTITUTE(SUBSTITUTE(E4,"　株式会社","株式会社"),"会社　","会社"),"　有限会社","有限会社"),"　合同会社","合同会社")</f>
        <v/>
      </c>
      <c r="G4" s="13" t="str">
        <f>TRIM(CLEAN(F4))&amp;""</f>
        <v/>
      </c>
      <c r="W4" s="41" t="str">
        <f t="shared" ca="1" si="0"/>
        <v>NG</v>
      </c>
      <c r="X4" t="str">
        <f t="shared" ca="1" si="1"/>
        <v>事業場名を入力してください。</v>
      </c>
      <c r="Y4">
        <f>IF(G4&lt;&gt;"",0,1)</f>
        <v>1</v>
      </c>
      <c r="AA4" t="str">
        <f>C4&amp;"を入力してください。"</f>
        <v>事業場名を入力してください。</v>
      </c>
    </row>
    <row r="5" spans="2:28" x14ac:dyDescent="0.2">
      <c r="B5" s="5">
        <v>1</v>
      </c>
      <c r="C5" s="5" t="s">
        <v>8</v>
      </c>
      <c r="D5" s="4">
        <v>1</v>
      </c>
      <c r="E5" s="4"/>
      <c r="F5" s="4"/>
      <c r="G5" s="13" t="str">
        <f>TRIM(CLEAN(ASC(入力シート!$F33)))&amp;""</f>
        <v/>
      </c>
      <c r="H5" s="35" t="str">
        <f>TRIM(CLEAN(ASC(入力シート!$H33)))&amp;""</f>
        <v/>
      </c>
      <c r="W5" s="41" t="str">
        <f t="shared" ca="1" si="0"/>
        <v>NG</v>
      </c>
      <c r="X5" t="str">
        <f t="shared" ca="1" si="1"/>
        <v>郵便番号を入力してください。</v>
      </c>
      <c r="Y5">
        <f>IF(AND(LEN(G5)=3,LEN(H5)=4)=TRUE,0,1)</f>
        <v>1</v>
      </c>
      <c r="Z5">
        <f>IFERROR(IF(0&lt;VALUE(G5),0,1),1)</f>
        <v>1</v>
      </c>
      <c r="AA5" t="str">
        <f>C5&amp;"を入力してください。"</f>
        <v>郵便番号を入力してください。</v>
      </c>
      <c r="AB5" t="str">
        <f>"正しい"&amp;C5&amp;"を入力してください。"</f>
        <v>正しい郵便番号を入力してください。</v>
      </c>
    </row>
    <row r="6" spans="2:28" x14ac:dyDescent="0.2">
      <c r="B6" s="5">
        <v>1</v>
      </c>
      <c r="C6" s="5" t="s">
        <v>10</v>
      </c>
      <c r="D6" s="4">
        <v>1</v>
      </c>
      <c r="E6" s="4"/>
      <c r="F6" s="4"/>
      <c r="G6" s="13" t="str">
        <f>TRIM(CLEAN(入力シート!$F35))&amp;""</f>
        <v/>
      </c>
      <c r="W6" s="41" t="str">
        <f t="shared" ca="1" si="0"/>
        <v>NG</v>
      </c>
      <c r="X6" t="str">
        <f t="shared" ca="1" si="1"/>
        <v>都道府県を選択してください。</v>
      </c>
      <c r="Y6">
        <f>IF(G6&lt;&gt;"",0,1)</f>
        <v>1</v>
      </c>
      <c r="AA6" t="str">
        <f>C6&amp;"を選択してください。"</f>
        <v>都道府県を選択してください。</v>
      </c>
    </row>
    <row r="7" spans="2:28" x14ac:dyDescent="0.2">
      <c r="B7" s="5">
        <v>1</v>
      </c>
      <c r="C7" s="5" t="s">
        <v>13</v>
      </c>
      <c r="D7" s="4">
        <v>1</v>
      </c>
      <c r="E7" s="34" t="str">
        <f>DBCS(入力シート!$F37)</f>
        <v/>
      </c>
      <c r="F7" s="4"/>
      <c r="G7" s="12" t="str">
        <f>TRIM(CLEAN(E7))&amp;""</f>
        <v/>
      </c>
      <c r="W7" s="41" t="str">
        <f t="shared" ca="1" si="0"/>
        <v>NG</v>
      </c>
      <c r="X7" t="str">
        <f t="shared" ca="1" si="1"/>
        <v>市区町村を入力してください。</v>
      </c>
      <c r="Y7">
        <f>IF(G7&lt;&gt;"",0,1)</f>
        <v>1</v>
      </c>
      <c r="AA7" t="str">
        <f>C7&amp;"を入力してください。"</f>
        <v>市区町村を入力してください。</v>
      </c>
    </row>
    <row r="8" spans="2:28" x14ac:dyDescent="0.2">
      <c r="B8" s="5">
        <v>1</v>
      </c>
      <c r="C8" s="5" t="s">
        <v>15</v>
      </c>
      <c r="D8" s="4">
        <v>1</v>
      </c>
      <c r="E8" s="34" t="str">
        <f>DBCS(入力シート!$F39)</f>
        <v/>
      </c>
      <c r="F8" s="4"/>
      <c r="G8" s="12" t="str">
        <f t="shared" ref="G8:G9" si="2">TRIM(CLEAN(E8))&amp;""</f>
        <v/>
      </c>
      <c r="W8" s="41" t="str">
        <f t="shared" ca="1" si="0"/>
        <v>NG</v>
      </c>
      <c r="X8" t="str">
        <f t="shared" ca="1" si="1"/>
        <v>町名地番を入力してください。</v>
      </c>
      <c r="Y8">
        <f>IF(G8&lt;&gt;"",0,1)</f>
        <v>1</v>
      </c>
      <c r="AA8" t="str">
        <f>C8&amp;"を入力してください。"</f>
        <v>町名地番を入力してください。</v>
      </c>
    </row>
    <row r="9" spans="2:28" x14ac:dyDescent="0.2">
      <c r="B9" s="5">
        <v>1</v>
      </c>
      <c r="C9" s="5" t="s">
        <v>18</v>
      </c>
      <c r="D9" s="4">
        <v>1</v>
      </c>
      <c r="E9" s="34" t="str">
        <f>DBCS(入力シート!$F41)</f>
        <v/>
      </c>
      <c r="F9" s="4"/>
      <c r="G9" s="12" t="str">
        <f t="shared" si="2"/>
        <v/>
      </c>
      <c r="W9" s="41"/>
    </row>
    <row r="10" spans="2:28" x14ac:dyDescent="0.2">
      <c r="B10" s="5">
        <v>2</v>
      </c>
      <c r="C10" s="5" t="s">
        <v>23</v>
      </c>
      <c r="D10" s="4">
        <f t="shared" ref="D10:D51" si="3">IF(AND(B10&lt;=$G$3),1,0)</f>
        <v>0</v>
      </c>
      <c r="E10" s="34" t="str">
        <f>DBCS('入力シート（2事業場以降）'!F23)</f>
        <v/>
      </c>
      <c r="F10" s="4" t="str">
        <f>SUBSTITUTE(SUBSTITUTE(SUBSTITUTE(SUBSTITUTE(E10,"　株式会社","株式会社"),"会社　","会社"),"　有限会社","有限会社"),"　合同会社","合同会社")</f>
        <v/>
      </c>
      <c r="G10" s="13" t="str">
        <f>IF($D10=1,TRIM(CLEAN(F10)),"")&amp;""</f>
        <v/>
      </c>
      <c r="W10" s="41" t="str">
        <f t="shared" ref="W10:W51" si="4">IF(B10&lt;=$G$3,IF(X10="OK",X10,"NG"),"OK")</f>
        <v>OK</v>
      </c>
      <c r="X10" t="str">
        <f t="shared" ref="X10:X14" ca="1" si="5">IF(Y10=0,IF(Z10&lt;&gt;0,OFFSET(AA10,0,Z10),$V$1),AA10)</f>
        <v>事業場名を入力してください。</v>
      </c>
      <c r="Y10">
        <f>IF(G10&lt;&gt;"",0,1)</f>
        <v>1</v>
      </c>
      <c r="AA10" t="str">
        <f>C10&amp;"を入力してください。"</f>
        <v>事業場名を入力してください。</v>
      </c>
    </row>
    <row r="11" spans="2:28" x14ac:dyDescent="0.2">
      <c r="B11" s="5">
        <v>2</v>
      </c>
      <c r="C11" s="5" t="s">
        <v>8</v>
      </c>
      <c r="D11" s="4">
        <f t="shared" si="3"/>
        <v>0</v>
      </c>
      <c r="E11" s="4"/>
      <c r="F11" s="4"/>
      <c r="G11" s="12" t="str">
        <f>IF($D11=1,TRIM(CLEAN(ASC('入力シート（2事業場以降）'!L23))),"")&amp;""</f>
        <v/>
      </c>
      <c r="H11" s="12" t="str">
        <f>IF($D11=1,TRIM(CLEAN(ASC('入力シート（2事業場以降）'!N23))),"")&amp;""</f>
        <v/>
      </c>
      <c r="W11" s="41" t="str">
        <f t="shared" si="4"/>
        <v>OK</v>
      </c>
      <c r="X11" t="str">
        <f t="shared" ca="1" si="5"/>
        <v>郵便番号を入力してください。</v>
      </c>
      <c r="Y11">
        <f>IF(AND(LEN(G11)=3,LEN(H11)=4)=TRUE,0,1)</f>
        <v>1</v>
      </c>
      <c r="Z11">
        <f>IFERROR(IF(0&lt;VALUE(G11),0,1),1)</f>
        <v>1</v>
      </c>
      <c r="AA11" t="str">
        <f>C11&amp;"を入力してください。"</f>
        <v>郵便番号を入力してください。</v>
      </c>
      <c r="AB11" t="str">
        <f>"正しい"&amp;C11&amp;"を入力してください。"</f>
        <v>正しい郵便番号を入力してください。</v>
      </c>
    </row>
    <row r="12" spans="2:28" x14ac:dyDescent="0.2">
      <c r="B12" s="5">
        <v>2</v>
      </c>
      <c r="C12" s="5" t="s">
        <v>10</v>
      </c>
      <c r="D12" s="4">
        <f t="shared" si="3"/>
        <v>0</v>
      </c>
      <c r="E12" s="4"/>
      <c r="F12" s="4"/>
      <c r="G12" s="12" t="str">
        <f>IF($D12=1,TRIM(CLEAN('入力シート（2事業場以降）'!P23)),"")&amp;""</f>
        <v/>
      </c>
      <c r="W12" s="41" t="str">
        <f t="shared" si="4"/>
        <v>OK</v>
      </c>
      <c r="X12" t="str">
        <f t="shared" ca="1" si="5"/>
        <v>都道府県を選択してください。</v>
      </c>
      <c r="Y12">
        <f>IF(G12&lt;&gt;"",0,1)</f>
        <v>1</v>
      </c>
      <c r="AA12" t="str">
        <f>C12&amp;"を選択してください。"</f>
        <v>都道府県を選択してください。</v>
      </c>
    </row>
    <row r="13" spans="2:28" x14ac:dyDescent="0.2">
      <c r="B13" s="5">
        <v>2</v>
      </c>
      <c r="C13" s="5" t="s">
        <v>13</v>
      </c>
      <c r="D13" s="4">
        <f t="shared" si="3"/>
        <v>0</v>
      </c>
      <c r="E13" s="34" t="str">
        <f>DBCS('入力シート（2事業場以降）'!R23)</f>
        <v/>
      </c>
      <c r="F13" s="4"/>
      <c r="G13" s="12" t="str">
        <f>IF($D13=1,TRIM(CLEAN('入力シート（2事業場以降）'!R23)),"")&amp;""</f>
        <v/>
      </c>
      <c r="W13" s="41" t="str">
        <f t="shared" si="4"/>
        <v>OK</v>
      </c>
      <c r="X13" t="str">
        <f t="shared" ca="1" si="5"/>
        <v>市区町村を入力してください。</v>
      </c>
      <c r="Y13">
        <f>IF(G13&lt;&gt;"",0,1)</f>
        <v>1</v>
      </c>
      <c r="AA13" t="str">
        <f>C13&amp;"を入力してください。"</f>
        <v>市区町村を入力してください。</v>
      </c>
    </row>
    <row r="14" spans="2:28" x14ac:dyDescent="0.2">
      <c r="B14" s="5">
        <v>2</v>
      </c>
      <c r="C14" s="5" t="s">
        <v>15</v>
      </c>
      <c r="D14" s="4">
        <f t="shared" si="3"/>
        <v>0</v>
      </c>
      <c r="E14" s="34" t="str">
        <f>DBCS('入力シート（2事業場以降）'!V23)</f>
        <v/>
      </c>
      <c r="F14" s="4"/>
      <c r="G14" s="12" t="str">
        <f>IF($D14=1,TRIM(CLEAN('入力シート（2事業場以降）'!V23)),"")&amp;""</f>
        <v/>
      </c>
      <c r="W14" s="41" t="str">
        <f t="shared" si="4"/>
        <v>OK</v>
      </c>
      <c r="X14" t="str">
        <f t="shared" ca="1" si="5"/>
        <v>町名地番を入力してください。</v>
      </c>
      <c r="Y14">
        <f>IF(G14&lt;&gt;"",0,1)</f>
        <v>1</v>
      </c>
      <c r="AA14" t="str">
        <f>C14&amp;"を入力してください。"</f>
        <v>町名地番を入力してください。</v>
      </c>
    </row>
    <row r="15" spans="2:28" x14ac:dyDescent="0.2">
      <c r="B15" s="5">
        <v>2</v>
      </c>
      <c r="C15" s="5" t="s">
        <v>18</v>
      </c>
      <c r="D15" s="4">
        <f t="shared" si="3"/>
        <v>0</v>
      </c>
      <c r="E15" s="34" t="str">
        <f>DBCS('入力シート（2事業場以降）'!Z23)</f>
        <v/>
      </c>
      <c r="F15" s="4"/>
      <c r="G15" s="12" t="str">
        <f>IF($D15=1,TRIM(CLEAN('入力シート（2事業場以降）'!Z23)),"")&amp;""</f>
        <v/>
      </c>
      <c r="W15" s="41" t="str">
        <f t="shared" si="4"/>
        <v>OK</v>
      </c>
    </row>
    <row r="16" spans="2:28" x14ac:dyDescent="0.2">
      <c r="B16" s="5">
        <v>3</v>
      </c>
      <c r="C16" s="5" t="s">
        <v>23</v>
      </c>
      <c r="D16" s="4">
        <f t="shared" si="3"/>
        <v>0</v>
      </c>
      <c r="E16" s="34" t="str">
        <f>DBCS('入力シート（2事業場以降）'!F25)</f>
        <v/>
      </c>
      <c r="F16" s="4" t="str">
        <f>SUBSTITUTE(SUBSTITUTE(SUBSTITUTE(SUBSTITUTE(E16,"　株式会社","株式会社"),"会社　","会社"),"　有限会社","有限会社"),"　合同会社","合同会社")</f>
        <v/>
      </c>
      <c r="G16" s="13" t="str">
        <f>IF($D16=1,TRIM(CLEAN(F16)),"")&amp;""</f>
        <v/>
      </c>
      <c r="W16" s="41" t="str">
        <f t="shared" si="4"/>
        <v>OK</v>
      </c>
      <c r="X16" t="str">
        <f t="shared" ref="X16:X20" ca="1" si="6">IF(Y16=0,IF(Z16&lt;&gt;0,OFFSET(AA16,0,Z16),$V$1),AA16)</f>
        <v>事業場名を入力してください。</v>
      </c>
      <c r="Y16">
        <f>IF(G16&lt;&gt;"",0,1)</f>
        <v>1</v>
      </c>
      <c r="AA16" t="str">
        <f>C16&amp;"を入力してください。"</f>
        <v>事業場名を入力してください。</v>
      </c>
    </row>
    <row r="17" spans="2:28" x14ac:dyDescent="0.2">
      <c r="B17" s="5">
        <v>3</v>
      </c>
      <c r="C17" s="5" t="s">
        <v>8</v>
      </c>
      <c r="D17" s="4">
        <f t="shared" si="3"/>
        <v>0</v>
      </c>
      <c r="E17" s="4"/>
      <c r="F17" s="4"/>
      <c r="G17" s="12" t="str">
        <f>IF($D17=1,TRIM(CLEAN(ASC('入力シート（2事業場以降）'!L25))),"")&amp;""</f>
        <v/>
      </c>
      <c r="H17" s="12" t="str">
        <f>IF($D17=1,TRIM(CLEAN(ASC('入力シート（2事業場以降）'!N25))),"")&amp;""</f>
        <v/>
      </c>
      <c r="W17" s="41" t="str">
        <f t="shared" si="4"/>
        <v>OK</v>
      </c>
      <c r="X17" t="str">
        <f t="shared" ca="1" si="6"/>
        <v>郵便番号を入力してください。</v>
      </c>
      <c r="Y17">
        <f>IF(AND(LEN(G17)=3,LEN(H17)=4)=TRUE,0,1)</f>
        <v>1</v>
      </c>
      <c r="Z17">
        <f>IFERROR(IF(0&lt;VALUE(G17),0,1),1)</f>
        <v>1</v>
      </c>
      <c r="AA17" t="str">
        <f>C17&amp;"を入力してください。"</f>
        <v>郵便番号を入力してください。</v>
      </c>
      <c r="AB17" t="str">
        <f>"正しい"&amp;C17&amp;"を入力してください。"</f>
        <v>正しい郵便番号を入力してください。</v>
      </c>
    </row>
    <row r="18" spans="2:28" x14ac:dyDescent="0.2">
      <c r="B18" s="5">
        <v>3</v>
      </c>
      <c r="C18" s="5" t="s">
        <v>10</v>
      </c>
      <c r="D18" s="4">
        <f t="shared" si="3"/>
        <v>0</v>
      </c>
      <c r="E18" s="4"/>
      <c r="F18" s="4"/>
      <c r="G18" s="12" t="str">
        <f>IF($D18=1,TRIM(CLEAN('入力シート（2事業場以降）'!P25)),"")&amp;""</f>
        <v/>
      </c>
      <c r="W18" s="41" t="str">
        <f t="shared" si="4"/>
        <v>OK</v>
      </c>
      <c r="X18" t="str">
        <f t="shared" ca="1" si="6"/>
        <v>都道府県を選択してください。</v>
      </c>
      <c r="Y18">
        <f>IF(G18&lt;&gt;"",0,1)</f>
        <v>1</v>
      </c>
      <c r="AA18" t="str">
        <f>C18&amp;"を選択してください。"</f>
        <v>都道府県を選択してください。</v>
      </c>
    </row>
    <row r="19" spans="2:28" x14ac:dyDescent="0.2">
      <c r="B19" s="5">
        <v>3</v>
      </c>
      <c r="C19" s="5" t="s">
        <v>13</v>
      </c>
      <c r="D19" s="4">
        <f t="shared" si="3"/>
        <v>0</v>
      </c>
      <c r="E19" s="34" t="str">
        <f>DBCS('入力シート（2事業場以降）'!R25)</f>
        <v/>
      </c>
      <c r="F19" s="4"/>
      <c r="G19" s="12" t="str">
        <f>IF($D19=1,TRIM(CLEAN('入力シート（2事業場以降）'!R25)),"")&amp;""</f>
        <v/>
      </c>
      <c r="W19" s="41" t="str">
        <f t="shared" si="4"/>
        <v>OK</v>
      </c>
      <c r="X19" t="str">
        <f t="shared" ca="1" si="6"/>
        <v>市区町村を入力してください。</v>
      </c>
      <c r="Y19">
        <f>IF(G19&lt;&gt;"",0,1)</f>
        <v>1</v>
      </c>
      <c r="AA19" t="str">
        <f>C19&amp;"を入力してください。"</f>
        <v>市区町村を入力してください。</v>
      </c>
    </row>
    <row r="20" spans="2:28" x14ac:dyDescent="0.2">
      <c r="B20" s="5">
        <v>3</v>
      </c>
      <c r="C20" s="5" t="s">
        <v>15</v>
      </c>
      <c r="D20" s="4">
        <f t="shared" si="3"/>
        <v>0</v>
      </c>
      <c r="E20" s="34" t="str">
        <f>DBCS('入力シート（2事業場以降）'!V25)</f>
        <v/>
      </c>
      <c r="F20" s="4"/>
      <c r="G20" s="12" t="str">
        <f>IF($D20=1,TRIM(CLEAN('入力シート（2事業場以降）'!V25)),"")&amp;""</f>
        <v/>
      </c>
      <c r="W20" s="41" t="str">
        <f t="shared" si="4"/>
        <v>OK</v>
      </c>
      <c r="X20" t="str">
        <f t="shared" ca="1" si="6"/>
        <v>町名地番を入力してください。</v>
      </c>
      <c r="Y20">
        <f>IF(G20&lt;&gt;"",0,1)</f>
        <v>1</v>
      </c>
      <c r="AA20" t="str">
        <f>C20&amp;"を入力してください。"</f>
        <v>町名地番を入力してください。</v>
      </c>
    </row>
    <row r="21" spans="2:28" x14ac:dyDescent="0.2">
      <c r="B21" s="5">
        <v>3</v>
      </c>
      <c r="C21" s="5" t="s">
        <v>18</v>
      </c>
      <c r="D21" s="4">
        <f t="shared" si="3"/>
        <v>0</v>
      </c>
      <c r="E21" s="34" t="str">
        <f>DBCS('入力シート（2事業場以降）'!Z25)</f>
        <v/>
      </c>
      <c r="F21" s="4"/>
      <c r="G21" s="12" t="str">
        <f>IF($D21=1,TRIM(CLEAN('入力シート（2事業場以降）'!Z25)),"")&amp;""</f>
        <v/>
      </c>
      <c r="W21" s="41" t="str">
        <f t="shared" si="4"/>
        <v>OK</v>
      </c>
    </row>
    <row r="22" spans="2:28" x14ac:dyDescent="0.2">
      <c r="B22" s="5">
        <v>4</v>
      </c>
      <c r="C22" s="5" t="s">
        <v>23</v>
      </c>
      <c r="D22" s="4">
        <f t="shared" si="3"/>
        <v>0</v>
      </c>
      <c r="E22" s="34" t="str">
        <f>DBCS('入力シート（2事業場以降）'!F27)</f>
        <v/>
      </c>
      <c r="F22" s="4" t="str">
        <f>SUBSTITUTE(SUBSTITUTE(SUBSTITUTE(SUBSTITUTE(E22,"　株式会社","株式会社"),"会社　","会社"),"　有限会社","有限会社"),"　合同会社","合同会社")</f>
        <v/>
      </c>
      <c r="G22" s="13" t="str">
        <f>IF($D22=1,TRIM(CLEAN(F22)),"")&amp;""</f>
        <v/>
      </c>
      <c r="W22" s="41" t="str">
        <f t="shared" si="4"/>
        <v>OK</v>
      </c>
      <c r="X22" t="str">
        <f t="shared" ref="X22:X26" ca="1" si="7">IF(Y22=0,IF(Z22&lt;&gt;0,OFFSET(AA22,0,Z22),$V$1),AA22)</f>
        <v>事業場名を入力してください。</v>
      </c>
      <c r="Y22">
        <f>IF(G22&lt;&gt;"",0,1)</f>
        <v>1</v>
      </c>
      <c r="AA22" t="str">
        <f>C22&amp;"を入力してください。"</f>
        <v>事業場名を入力してください。</v>
      </c>
    </row>
    <row r="23" spans="2:28" x14ac:dyDescent="0.2">
      <c r="B23" s="5">
        <v>4</v>
      </c>
      <c r="C23" s="5" t="s">
        <v>8</v>
      </c>
      <c r="D23" s="4">
        <f t="shared" si="3"/>
        <v>0</v>
      </c>
      <c r="E23" s="4"/>
      <c r="F23" s="4"/>
      <c r="G23" s="12" t="str">
        <f>IF($D23=1,TRIM(CLEAN(ASC('入力シート（2事業場以降）'!L27))),"")&amp;""</f>
        <v/>
      </c>
      <c r="H23" s="12" t="str">
        <f>IF($D23=1,TRIM(CLEAN(ASC('入力シート（2事業場以降）'!N27))),"")&amp;""</f>
        <v/>
      </c>
      <c r="W23" s="41" t="str">
        <f t="shared" si="4"/>
        <v>OK</v>
      </c>
      <c r="X23" t="str">
        <f t="shared" ca="1" si="7"/>
        <v>郵便番号を入力してください。</v>
      </c>
      <c r="Y23">
        <f>IF(AND(LEN(G23)=3,LEN(H23)=4)=TRUE,0,1)</f>
        <v>1</v>
      </c>
      <c r="Z23">
        <f>IFERROR(IF(0&lt;VALUE(G23),0,1),1)</f>
        <v>1</v>
      </c>
      <c r="AA23" t="str">
        <f>C23&amp;"を入力してください。"</f>
        <v>郵便番号を入力してください。</v>
      </c>
      <c r="AB23" t="str">
        <f>"正しい"&amp;C23&amp;"を入力してください。"</f>
        <v>正しい郵便番号を入力してください。</v>
      </c>
    </row>
    <row r="24" spans="2:28" x14ac:dyDescent="0.2">
      <c r="B24" s="5">
        <v>4</v>
      </c>
      <c r="C24" s="5" t="s">
        <v>10</v>
      </c>
      <c r="D24" s="4">
        <f t="shared" si="3"/>
        <v>0</v>
      </c>
      <c r="E24" s="4"/>
      <c r="F24" s="4"/>
      <c r="G24" s="12" t="str">
        <f>IF($D24=1,TRIM(CLEAN('入力シート（2事業場以降）'!P27)),"")&amp;""</f>
        <v/>
      </c>
      <c r="W24" s="41" t="str">
        <f t="shared" si="4"/>
        <v>OK</v>
      </c>
      <c r="X24" t="str">
        <f t="shared" ca="1" si="7"/>
        <v>都道府県を選択してください。</v>
      </c>
      <c r="Y24">
        <f>IF(G24&lt;&gt;"",0,1)</f>
        <v>1</v>
      </c>
      <c r="AA24" t="str">
        <f>C24&amp;"を選択してください。"</f>
        <v>都道府県を選択してください。</v>
      </c>
    </row>
    <row r="25" spans="2:28" x14ac:dyDescent="0.2">
      <c r="B25" s="5">
        <v>4</v>
      </c>
      <c r="C25" s="5" t="s">
        <v>13</v>
      </c>
      <c r="D25" s="4">
        <f t="shared" si="3"/>
        <v>0</v>
      </c>
      <c r="E25" s="34" t="str">
        <f>DBCS('入力シート（2事業場以降）'!R27)</f>
        <v/>
      </c>
      <c r="F25" s="4"/>
      <c r="G25" s="12" t="str">
        <f>IF($D25=1,TRIM(CLEAN('入力シート（2事業場以降）'!R27)),"")&amp;""</f>
        <v/>
      </c>
      <c r="W25" s="41" t="str">
        <f t="shared" si="4"/>
        <v>OK</v>
      </c>
      <c r="X25" t="str">
        <f t="shared" ca="1" si="7"/>
        <v>市区町村を入力してください。</v>
      </c>
      <c r="Y25">
        <f>IF(G25&lt;&gt;"",0,1)</f>
        <v>1</v>
      </c>
      <c r="AA25" t="str">
        <f>C25&amp;"を入力してください。"</f>
        <v>市区町村を入力してください。</v>
      </c>
    </row>
    <row r="26" spans="2:28" x14ac:dyDescent="0.2">
      <c r="B26" s="5">
        <v>4</v>
      </c>
      <c r="C26" s="5" t="s">
        <v>15</v>
      </c>
      <c r="D26" s="4">
        <f t="shared" si="3"/>
        <v>0</v>
      </c>
      <c r="E26" s="34" t="str">
        <f>DBCS('入力シート（2事業場以降）'!V27)</f>
        <v/>
      </c>
      <c r="F26" s="4"/>
      <c r="G26" s="12" t="str">
        <f>IF($D26=1,TRIM(CLEAN('入力シート（2事業場以降）'!V27)),"")&amp;""</f>
        <v/>
      </c>
      <c r="W26" s="41" t="str">
        <f t="shared" si="4"/>
        <v>OK</v>
      </c>
      <c r="X26" t="str">
        <f t="shared" ca="1" si="7"/>
        <v>町名地番を入力してください。</v>
      </c>
      <c r="Y26">
        <f>IF(G26&lt;&gt;"",0,1)</f>
        <v>1</v>
      </c>
      <c r="AA26" t="str">
        <f>C26&amp;"を入力してください。"</f>
        <v>町名地番を入力してください。</v>
      </c>
    </row>
    <row r="27" spans="2:28" x14ac:dyDescent="0.2">
      <c r="B27" s="5">
        <v>4</v>
      </c>
      <c r="C27" s="5" t="s">
        <v>18</v>
      </c>
      <c r="D27" s="4">
        <f t="shared" si="3"/>
        <v>0</v>
      </c>
      <c r="E27" s="34" t="str">
        <f>DBCS('入力シート（2事業場以降）'!Z27)</f>
        <v/>
      </c>
      <c r="F27" s="4"/>
      <c r="G27" s="12" t="str">
        <f>IF($D27=1,TRIM(CLEAN('入力シート（2事業場以降）'!Z27)),"")&amp;""</f>
        <v/>
      </c>
      <c r="W27" s="41" t="str">
        <f t="shared" si="4"/>
        <v>OK</v>
      </c>
    </row>
    <row r="28" spans="2:28" x14ac:dyDescent="0.2">
      <c r="B28" s="5">
        <v>5</v>
      </c>
      <c r="C28" s="5" t="s">
        <v>23</v>
      </c>
      <c r="D28" s="4">
        <f t="shared" si="3"/>
        <v>0</v>
      </c>
      <c r="E28" s="34" t="str">
        <f>DBCS('入力シート（2事業場以降）'!F29)</f>
        <v/>
      </c>
      <c r="F28" s="4" t="str">
        <f>SUBSTITUTE(SUBSTITUTE(SUBSTITUTE(SUBSTITUTE(E28,"　株式会社","株式会社"),"会社　","会社"),"　有限会社","有限会社"),"　合同会社","合同会社")</f>
        <v/>
      </c>
      <c r="G28" s="13" t="str">
        <f>IF($D28=1,TRIM(CLEAN(F28)),"")&amp;""</f>
        <v/>
      </c>
      <c r="W28" s="41" t="str">
        <f t="shared" si="4"/>
        <v>OK</v>
      </c>
      <c r="X28" t="str">
        <f t="shared" ref="X28:X32" ca="1" si="8">IF(Y28=0,IF(Z28&lt;&gt;0,OFFSET(AA28,0,Z28),$V$1),AA28)</f>
        <v>事業場名を入力してください。</v>
      </c>
      <c r="Y28">
        <f>IF(G28&lt;&gt;"",0,1)</f>
        <v>1</v>
      </c>
      <c r="AA28" t="str">
        <f>C28&amp;"を入力してください。"</f>
        <v>事業場名を入力してください。</v>
      </c>
    </row>
    <row r="29" spans="2:28" x14ac:dyDescent="0.2">
      <c r="B29" s="5">
        <v>5</v>
      </c>
      <c r="C29" s="5" t="s">
        <v>8</v>
      </c>
      <c r="D29" s="4">
        <f t="shared" si="3"/>
        <v>0</v>
      </c>
      <c r="E29" s="4"/>
      <c r="F29" s="4"/>
      <c r="G29" s="12" t="str">
        <f>IF($D29=1,TRIM(CLEAN(ASC('入力シート（2事業場以降）'!L29))),"")&amp;""</f>
        <v/>
      </c>
      <c r="H29" s="12" t="str">
        <f>IF($D29=1,TRIM(CLEAN(ASC('入力シート（2事業場以降）'!N29))),"")&amp;""</f>
        <v/>
      </c>
      <c r="W29" s="41" t="str">
        <f t="shared" si="4"/>
        <v>OK</v>
      </c>
      <c r="X29" t="str">
        <f t="shared" ca="1" si="8"/>
        <v>郵便番号を入力してください。</v>
      </c>
      <c r="Y29">
        <f>IF(AND(LEN(G29)=3,LEN(H29)=4)=TRUE,0,1)</f>
        <v>1</v>
      </c>
      <c r="Z29">
        <f>IFERROR(IF(0&lt;VALUE(G29),0,1),1)</f>
        <v>1</v>
      </c>
      <c r="AA29" t="str">
        <f>C29&amp;"を入力してください。"</f>
        <v>郵便番号を入力してください。</v>
      </c>
      <c r="AB29" t="str">
        <f>"正しい"&amp;C29&amp;"を入力してください。"</f>
        <v>正しい郵便番号を入力してください。</v>
      </c>
    </row>
    <row r="30" spans="2:28" x14ac:dyDescent="0.2">
      <c r="B30" s="5">
        <v>5</v>
      </c>
      <c r="C30" s="5" t="s">
        <v>10</v>
      </c>
      <c r="D30" s="4">
        <f t="shared" si="3"/>
        <v>0</v>
      </c>
      <c r="E30" s="4"/>
      <c r="F30" s="4"/>
      <c r="G30" s="12" t="str">
        <f>IF($D30=1,TRIM(CLEAN('入力シート（2事業場以降）'!P29)),"")&amp;""</f>
        <v/>
      </c>
      <c r="W30" s="41" t="str">
        <f t="shared" si="4"/>
        <v>OK</v>
      </c>
      <c r="X30" t="str">
        <f t="shared" ca="1" si="8"/>
        <v>都道府県を選択してください。</v>
      </c>
      <c r="Y30">
        <f>IF(G30&lt;&gt;"",0,1)</f>
        <v>1</v>
      </c>
      <c r="AA30" t="str">
        <f>C30&amp;"を選択してください。"</f>
        <v>都道府県を選択してください。</v>
      </c>
    </row>
    <row r="31" spans="2:28" x14ac:dyDescent="0.2">
      <c r="B31" s="5">
        <v>5</v>
      </c>
      <c r="C31" s="5" t="s">
        <v>13</v>
      </c>
      <c r="D31" s="4">
        <f t="shared" si="3"/>
        <v>0</v>
      </c>
      <c r="E31" s="34" t="str">
        <f>DBCS('入力シート（2事業場以降）'!R29)</f>
        <v/>
      </c>
      <c r="F31" s="4"/>
      <c r="G31" s="12" t="str">
        <f>IF($D31=1,TRIM(CLEAN('入力シート（2事業場以降）'!R29)),"")&amp;""</f>
        <v/>
      </c>
      <c r="W31" s="41" t="str">
        <f t="shared" si="4"/>
        <v>OK</v>
      </c>
      <c r="X31" t="str">
        <f t="shared" ca="1" si="8"/>
        <v>市区町村を入力してください。</v>
      </c>
      <c r="Y31">
        <f>IF(G31&lt;&gt;"",0,1)</f>
        <v>1</v>
      </c>
      <c r="AA31" t="str">
        <f>C31&amp;"を入力してください。"</f>
        <v>市区町村を入力してください。</v>
      </c>
    </row>
    <row r="32" spans="2:28" x14ac:dyDescent="0.2">
      <c r="B32" s="5">
        <v>5</v>
      </c>
      <c r="C32" s="5" t="s">
        <v>15</v>
      </c>
      <c r="D32" s="4">
        <f t="shared" si="3"/>
        <v>0</v>
      </c>
      <c r="E32" s="34" t="str">
        <f>DBCS('入力シート（2事業場以降）'!V29)</f>
        <v/>
      </c>
      <c r="F32" s="4"/>
      <c r="G32" s="12" t="str">
        <f>IF($D32=1,TRIM(CLEAN('入力シート（2事業場以降）'!V29)),"")&amp;""</f>
        <v/>
      </c>
      <c r="W32" s="41" t="str">
        <f t="shared" si="4"/>
        <v>OK</v>
      </c>
      <c r="X32" t="str">
        <f t="shared" ca="1" si="8"/>
        <v>町名地番を入力してください。</v>
      </c>
      <c r="Y32">
        <f>IF(G32&lt;&gt;"",0,1)</f>
        <v>1</v>
      </c>
      <c r="AA32" t="str">
        <f>C32&amp;"を入力してください。"</f>
        <v>町名地番を入力してください。</v>
      </c>
    </row>
    <row r="33" spans="2:28" x14ac:dyDescent="0.2">
      <c r="B33" s="5">
        <v>5</v>
      </c>
      <c r="C33" s="5" t="s">
        <v>18</v>
      </c>
      <c r="D33" s="4">
        <f t="shared" si="3"/>
        <v>0</v>
      </c>
      <c r="E33" s="34" t="str">
        <f>DBCS('入力シート（2事業場以降）'!Z29)</f>
        <v/>
      </c>
      <c r="F33" s="4"/>
      <c r="G33" s="12" t="str">
        <f>IF($D33=1,TRIM(CLEAN('入力シート（2事業場以降）'!Z29)),"")&amp;""</f>
        <v/>
      </c>
      <c r="W33" s="41" t="str">
        <f t="shared" si="4"/>
        <v>OK</v>
      </c>
    </row>
    <row r="34" spans="2:28" x14ac:dyDescent="0.2">
      <c r="B34" s="5">
        <v>6</v>
      </c>
      <c r="C34" s="5" t="s">
        <v>23</v>
      </c>
      <c r="D34" s="4">
        <f t="shared" si="3"/>
        <v>0</v>
      </c>
      <c r="E34" s="34" t="str">
        <f>DBCS('入力シート（2事業場以降）'!F31)</f>
        <v/>
      </c>
      <c r="F34" s="4" t="str">
        <f>SUBSTITUTE(SUBSTITUTE(SUBSTITUTE(SUBSTITUTE(E34,"　株式会社","株式会社"),"会社　","会社"),"　有限会社","有限会社"),"　合同会社","合同会社")</f>
        <v/>
      </c>
      <c r="G34" s="13" t="str">
        <f>IF($D34=1,TRIM(CLEAN(F34)),"")&amp;""</f>
        <v/>
      </c>
      <c r="W34" s="41" t="str">
        <f t="shared" si="4"/>
        <v>OK</v>
      </c>
      <c r="X34" t="str">
        <f t="shared" ref="X34:X38" ca="1" si="9">IF(Y34=0,IF(Z34&lt;&gt;0,OFFSET(AA34,0,Z34),$V$1),AA34)</f>
        <v>事業場名を入力してください。</v>
      </c>
      <c r="Y34">
        <f>IF(G34&lt;&gt;"",0,1)</f>
        <v>1</v>
      </c>
      <c r="AA34" t="str">
        <f>C34&amp;"を入力してください。"</f>
        <v>事業場名を入力してください。</v>
      </c>
    </row>
    <row r="35" spans="2:28" x14ac:dyDescent="0.2">
      <c r="B35" s="5">
        <v>6</v>
      </c>
      <c r="C35" s="5" t="s">
        <v>8</v>
      </c>
      <c r="D35" s="4">
        <f t="shared" si="3"/>
        <v>0</v>
      </c>
      <c r="E35" s="4"/>
      <c r="F35" s="4"/>
      <c r="G35" s="12" t="str">
        <f>IF($D35=1,TRIM(CLEAN(ASC('入力シート（2事業場以降）'!L31))),"")&amp;""</f>
        <v/>
      </c>
      <c r="H35" s="12" t="str">
        <f>IF($D35=1,TRIM(CLEAN(ASC('入力シート（2事業場以降）'!N31))),"")&amp;""</f>
        <v/>
      </c>
      <c r="W35" s="41" t="str">
        <f t="shared" si="4"/>
        <v>OK</v>
      </c>
      <c r="X35" t="str">
        <f t="shared" ca="1" si="9"/>
        <v>郵便番号を入力してください。</v>
      </c>
      <c r="Y35">
        <f>IF(AND(LEN(G35)=3,LEN(H35)=4)=TRUE,0,1)</f>
        <v>1</v>
      </c>
      <c r="Z35">
        <f>IFERROR(IF(0&lt;VALUE(G35),0,1),1)</f>
        <v>1</v>
      </c>
      <c r="AA35" t="str">
        <f>C35&amp;"を入力してください。"</f>
        <v>郵便番号を入力してください。</v>
      </c>
      <c r="AB35" t="str">
        <f>"正しい"&amp;C35&amp;"を入力してください。"</f>
        <v>正しい郵便番号を入力してください。</v>
      </c>
    </row>
    <row r="36" spans="2:28" x14ac:dyDescent="0.2">
      <c r="B36" s="5">
        <v>6</v>
      </c>
      <c r="C36" s="5" t="s">
        <v>10</v>
      </c>
      <c r="D36" s="4">
        <f t="shared" si="3"/>
        <v>0</v>
      </c>
      <c r="E36" s="4"/>
      <c r="F36" s="4"/>
      <c r="G36" s="12" t="str">
        <f>IF($D36=1,TRIM(CLEAN('入力シート（2事業場以降）'!P31)),"")&amp;""</f>
        <v/>
      </c>
      <c r="W36" s="41" t="str">
        <f t="shared" si="4"/>
        <v>OK</v>
      </c>
      <c r="X36" t="str">
        <f t="shared" ca="1" si="9"/>
        <v>都道府県を選択してください。</v>
      </c>
      <c r="Y36">
        <f>IF(G36&lt;&gt;"",0,1)</f>
        <v>1</v>
      </c>
      <c r="AA36" t="str">
        <f>C36&amp;"を選択してください。"</f>
        <v>都道府県を選択してください。</v>
      </c>
    </row>
    <row r="37" spans="2:28" x14ac:dyDescent="0.2">
      <c r="B37" s="5">
        <v>6</v>
      </c>
      <c r="C37" s="5" t="s">
        <v>13</v>
      </c>
      <c r="D37" s="4">
        <f t="shared" si="3"/>
        <v>0</v>
      </c>
      <c r="E37" s="34" t="str">
        <f>DBCS('入力シート（2事業場以降）'!R31)</f>
        <v/>
      </c>
      <c r="F37" s="4"/>
      <c r="G37" s="12" t="str">
        <f>IF($D37=1,TRIM(CLEAN('入力シート（2事業場以降）'!R31)),"")&amp;""</f>
        <v/>
      </c>
      <c r="W37" s="41" t="str">
        <f t="shared" si="4"/>
        <v>OK</v>
      </c>
      <c r="X37" t="str">
        <f t="shared" ca="1" si="9"/>
        <v>市区町村を入力してください。</v>
      </c>
      <c r="Y37">
        <f>IF(G37&lt;&gt;"",0,1)</f>
        <v>1</v>
      </c>
      <c r="AA37" t="str">
        <f>C37&amp;"を入力してください。"</f>
        <v>市区町村を入力してください。</v>
      </c>
    </row>
    <row r="38" spans="2:28" x14ac:dyDescent="0.2">
      <c r="B38" s="5">
        <v>6</v>
      </c>
      <c r="C38" s="5" t="s">
        <v>15</v>
      </c>
      <c r="D38" s="4">
        <f t="shared" si="3"/>
        <v>0</v>
      </c>
      <c r="E38" s="34" t="str">
        <f>DBCS('入力シート（2事業場以降）'!V31)</f>
        <v/>
      </c>
      <c r="F38" s="4"/>
      <c r="G38" s="12" t="str">
        <f>IF($D38=1,TRIM(CLEAN('入力シート（2事業場以降）'!V31)),"")&amp;""</f>
        <v/>
      </c>
      <c r="W38" s="41" t="str">
        <f t="shared" si="4"/>
        <v>OK</v>
      </c>
      <c r="X38" t="str">
        <f t="shared" ca="1" si="9"/>
        <v>町名地番を入力してください。</v>
      </c>
      <c r="Y38">
        <f>IF(G38&lt;&gt;"",0,1)</f>
        <v>1</v>
      </c>
      <c r="AA38" t="str">
        <f>C38&amp;"を入力してください。"</f>
        <v>町名地番を入力してください。</v>
      </c>
    </row>
    <row r="39" spans="2:28" x14ac:dyDescent="0.2">
      <c r="B39" s="5">
        <v>6</v>
      </c>
      <c r="C39" s="5" t="s">
        <v>18</v>
      </c>
      <c r="D39" s="4">
        <f t="shared" si="3"/>
        <v>0</v>
      </c>
      <c r="E39" s="34" t="str">
        <f>DBCS('入力シート（2事業場以降）'!Z31)</f>
        <v/>
      </c>
      <c r="F39" s="4"/>
      <c r="G39" s="12" t="str">
        <f>IF($D39=1,TRIM(CLEAN('入力シート（2事業場以降）'!Z31)),"")&amp;""</f>
        <v/>
      </c>
      <c r="W39" s="41" t="str">
        <f t="shared" si="4"/>
        <v>OK</v>
      </c>
    </row>
    <row r="40" spans="2:28" x14ac:dyDescent="0.2">
      <c r="B40" s="5">
        <v>7</v>
      </c>
      <c r="C40" s="5" t="s">
        <v>23</v>
      </c>
      <c r="D40" s="4">
        <f t="shared" si="3"/>
        <v>0</v>
      </c>
      <c r="E40" s="34" t="str">
        <f>DBCS('入力シート（2事業場以降）'!F33)</f>
        <v/>
      </c>
      <c r="F40" s="4" t="str">
        <f>SUBSTITUTE(SUBSTITUTE(SUBSTITUTE(SUBSTITUTE(E40,"　株式会社","株式会社"),"会社　","会社"),"　有限会社","有限会社"),"　合同会社","合同会社")</f>
        <v/>
      </c>
      <c r="G40" s="13" t="str">
        <f>IF($D40=1,TRIM(CLEAN(F40)),"")&amp;""</f>
        <v/>
      </c>
      <c r="W40" s="41" t="str">
        <f t="shared" si="4"/>
        <v>OK</v>
      </c>
      <c r="X40" t="str">
        <f t="shared" ref="X40:X44" ca="1" si="10">IF(Y40=0,IF(Z40&lt;&gt;0,OFFSET(AA40,0,Z40),$V$1),AA40)</f>
        <v>事業場名を入力してください。</v>
      </c>
      <c r="Y40">
        <f>IF(G40&lt;&gt;"",0,1)</f>
        <v>1</v>
      </c>
      <c r="AA40" t="str">
        <f>C40&amp;"を入力してください。"</f>
        <v>事業場名を入力してください。</v>
      </c>
    </row>
    <row r="41" spans="2:28" x14ac:dyDescent="0.2">
      <c r="B41" s="5">
        <v>7</v>
      </c>
      <c r="C41" s="5" t="s">
        <v>8</v>
      </c>
      <c r="D41" s="4">
        <f t="shared" si="3"/>
        <v>0</v>
      </c>
      <c r="E41" s="4"/>
      <c r="F41" s="4"/>
      <c r="G41" s="12" t="str">
        <f>IF($D41=1,TRIM(CLEAN(ASC('入力シート（2事業場以降）'!L33))),"")&amp;""</f>
        <v/>
      </c>
      <c r="H41" s="12" t="str">
        <f>IF($D41=1,TRIM(CLEAN(ASC('入力シート（2事業場以降）'!N33))),"")&amp;""</f>
        <v/>
      </c>
      <c r="W41" s="41" t="str">
        <f t="shared" si="4"/>
        <v>OK</v>
      </c>
      <c r="X41" t="str">
        <f t="shared" ca="1" si="10"/>
        <v>郵便番号を入力してください。</v>
      </c>
      <c r="Y41">
        <f>IF(AND(LEN(G41)=3,LEN(H41)=4)=TRUE,0,1)</f>
        <v>1</v>
      </c>
      <c r="Z41">
        <f>IFERROR(IF(0&lt;VALUE(G41),0,1),1)</f>
        <v>1</v>
      </c>
      <c r="AA41" t="str">
        <f>C41&amp;"を入力してください。"</f>
        <v>郵便番号を入力してください。</v>
      </c>
      <c r="AB41" t="str">
        <f>"正しい"&amp;C41&amp;"を入力してください。"</f>
        <v>正しい郵便番号を入力してください。</v>
      </c>
    </row>
    <row r="42" spans="2:28" x14ac:dyDescent="0.2">
      <c r="B42" s="5">
        <v>7</v>
      </c>
      <c r="C42" s="5" t="s">
        <v>10</v>
      </c>
      <c r="D42" s="4">
        <f t="shared" si="3"/>
        <v>0</v>
      </c>
      <c r="E42" s="4"/>
      <c r="F42" s="4"/>
      <c r="G42" s="12" t="str">
        <f>IF($D42=1,TRIM(CLEAN('入力シート（2事業場以降）'!P33)),"")&amp;""</f>
        <v/>
      </c>
      <c r="W42" s="41" t="str">
        <f t="shared" si="4"/>
        <v>OK</v>
      </c>
      <c r="X42" t="str">
        <f t="shared" ca="1" si="10"/>
        <v>都道府県を選択してください。</v>
      </c>
      <c r="Y42">
        <f>IF(G42&lt;&gt;"",0,1)</f>
        <v>1</v>
      </c>
      <c r="AA42" t="str">
        <f>C42&amp;"を選択してください。"</f>
        <v>都道府県を選択してください。</v>
      </c>
    </row>
    <row r="43" spans="2:28" x14ac:dyDescent="0.2">
      <c r="B43" s="5">
        <v>7</v>
      </c>
      <c r="C43" s="5" t="s">
        <v>13</v>
      </c>
      <c r="D43" s="4">
        <f t="shared" si="3"/>
        <v>0</v>
      </c>
      <c r="E43" s="34" t="str">
        <f>DBCS('入力シート（2事業場以降）'!R33)</f>
        <v/>
      </c>
      <c r="F43" s="4"/>
      <c r="G43" s="12" t="str">
        <f>IF($D43=1,TRIM(CLEAN('入力シート（2事業場以降）'!R33)),"")&amp;""</f>
        <v/>
      </c>
      <c r="W43" s="41" t="str">
        <f t="shared" si="4"/>
        <v>OK</v>
      </c>
      <c r="X43" t="str">
        <f t="shared" ca="1" si="10"/>
        <v>市区町村を入力してください。</v>
      </c>
      <c r="Y43">
        <f>IF(G43&lt;&gt;"",0,1)</f>
        <v>1</v>
      </c>
      <c r="AA43" t="str">
        <f>C43&amp;"を入力してください。"</f>
        <v>市区町村を入力してください。</v>
      </c>
    </row>
    <row r="44" spans="2:28" x14ac:dyDescent="0.2">
      <c r="B44" s="5">
        <v>7</v>
      </c>
      <c r="C44" s="5" t="s">
        <v>15</v>
      </c>
      <c r="D44" s="4">
        <f t="shared" si="3"/>
        <v>0</v>
      </c>
      <c r="E44" s="34" t="str">
        <f>DBCS('入力シート（2事業場以降）'!V33)</f>
        <v/>
      </c>
      <c r="F44" s="4"/>
      <c r="G44" s="12" t="str">
        <f>IF($D44=1,TRIM(CLEAN('入力シート（2事業場以降）'!V33)),"")&amp;""</f>
        <v/>
      </c>
      <c r="W44" s="41" t="str">
        <f t="shared" si="4"/>
        <v>OK</v>
      </c>
      <c r="X44" t="str">
        <f t="shared" ca="1" si="10"/>
        <v>町名地番を入力してください。</v>
      </c>
      <c r="Y44">
        <f>IF(G44&lt;&gt;"",0,1)</f>
        <v>1</v>
      </c>
      <c r="AA44" t="str">
        <f>C44&amp;"を入力してください。"</f>
        <v>町名地番を入力してください。</v>
      </c>
    </row>
    <row r="45" spans="2:28" x14ac:dyDescent="0.2">
      <c r="B45" s="5">
        <v>7</v>
      </c>
      <c r="C45" s="5" t="s">
        <v>18</v>
      </c>
      <c r="D45" s="4">
        <f t="shared" si="3"/>
        <v>0</v>
      </c>
      <c r="E45" s="34" t="str">
        <f>DBCS('入力シート（2事業場以降）'!Z33)</f>
        <v/>
      </c>
      <c r="F45" s="4"/>
      <c r="G45" s="12" t="str">
        <f>IF($D45=1,TRIM(CLEAN('入力シート（2事業場以降）'!Z33)),"")&amp;""</f>
        <v/>
      </c>
      <c r="W45" s="41" t="str">
        <f t="shared" si="4"/>
        <v>OK</v>
      </c>
    </row>
    <row r="46" spans="2:28" x14ac:dyDescent="0.2">
      <c r="B46" s="5">
        <v>8</v>
      </c>
      <c r="C46" s="5" t="s">
        <v>23</v>
      </c>
      <c r="D46" s="4">
        <f t="shared" si="3"/>
        <v>0</v>
      </c>
      <c r="E46" s="34" t="str">
        <f>DBCS('入力シート（2事業場以降）'!F35)</f>
        <v/>
      </c>
      <c r="F46" s="4" t="str">
        <f>SUBSTITUTE(SUBSTITUTE(SUBSTITUTE(SUBSTITUTE(E46,"　株式会社","株式会社"),"会社　","会社"),"　有限会社","有限会社"),"　合同会社","合同会社")</f>
        <v/>
      </c>
      <c r="G46" s="13" t="str">
        <f>IF($D46=1,TRIM(CLEAN(F46)),"")&amp;""</f>
        <v/>
      </c>
      <c r="W46" s="41" t="str">
        <f t="shared" si="4"/>
        <v>OK</v>
      </c>
      <c r="X46" t="str">
        <f t="shared" ref="X46:X50" ca="1" si="11">IF(Y46=0,IF(Z46&lt;&gt;0,OFFSET(AA46,0,Z46),$V$1),AA46)</f>
        <v>事業場名を入力してください。</v>
      </c>
      <c r="Y46">
        <f>IF(G46&lt;&gt;"",0,1)</f>
        <v>1</v>
      </c>
      <c r="AA46" t="str">
        <f>C46&amp;"を入力してください。"</f>
        <v>事業場名を入力してください。</v>
      </c>
    </row>
    <row r="47" spans="2:28" x14ac:dyDescent="0.2">
      <c r="B47" s="5">
        <v>8</v>
      </c>
      <c r="C47" s="5" t="s">
        <v>8</v>
      </c>
      <c r="D47" s="4">
        <f t="shared" si="3"/>
        <v>0</v>
      </c>
      <c r="E47" s="4"/>
      <c r="F47" s="4"/>
      <c r="G47" s="12" t="str">
        <f>IF($D47=1,TRIM(CLEAN(ASC('入力シート（2事業場以降）'!L35))),"")&amp;""</f>
        <v/>
      </c>
      <c r="H47" s="12" t="str">
        <f>IF($D47=1,TRIM(CLEAN(ASC('入力シート（2事業場以降）'!N35))),"")&amp;""</f>
        <v/>
      </c>
      <c r="W47" s="41" t="str">
        <f t="shared" si="4"/>
        <v>OK</v>
      </c>
      <c r="X47" t="str">
        <f t="shared" ca="1" si="11"/>
        <v>郵便番号を入力してください。</v>
      </c>
      <c r="Y47">
        <f>IF(AND(LEN(G47)=3,LEN(H47)=4)=TRUE,0,1)</f>
        <v>1</v>
      </c>
      <c r="Z47">
        <f>IFERROR(IF(0&lt;VALUE(G47),0,1),1)</f>
        <v>1</v>
      </c>
      <c r="AA47" t="str">
        <f>C47&amp;"を入力してください。"</f>
        <v>郵便番号を入力してください。</v>
      </c>
      <c r="AB47" t="str">
        <f>"正しい"&amp;C47&amp;"を入力してください。"</f>
        <v>正しい郵便番号を入力してください。</v>
      </c>
    </row>
    <row r="48" spans="2:28" x14ac:dyDescent="0.2">
      <c r="B48" s="5">
        <v>8</v>
      </c>
      <c r="C48" s="5" t="s">
        <v>10</v>
      </c>
      <c r="D48" s="4">
        <f t="shared" si="3"/>
        <v>0</v>
      </c>
      <c r="E48" s="4"/>
      <c r="F48" s="4"/>
      <c r="G48" s="12" t="str">
        <f>IF($D48=1,TRIM(CLEAN('入力シート（2事業場以降）'!P35)),"")&amp;""</f>
        <v/>
      </c>
      <c r="W48" s="41" t="str">
        <f t="shared" si="4"/>
        <v>OK</v>
      </c>
      <c r="X48" t="str">
        <f t="shared" ca="1" si="11"/>
        <v>都道府県を選択してください。</v>
      </c>
      <c r="Y48">
        <f>IF(G48&lt;&gt;"",0,1)</f>
        <v>1</v>
      </c>
      <c r="AA48" t="str">
        <f>C48&amp;"を選択してください。"</f>
        <v>都道府県を選択してください。</v>
      </c>
    </row>
    <row r="49" spans="2:28" x14ac:dyDescent="0.2">
      <c r="B49" s="5">
        <v>8</v>
      </c>
      <c r="C49" s="5" t="s">
        <v>13</v>
      </c>
      <c r="D49" s="4">
        <f t="shared" si="3"/>
        <v>0</v>
      </c>
      <c r="E49" s="34" t="str">
        <f>DBCS('入力シート（2事業場以降）'!R35)</f>
        <v/>
      </c>
      <c r="F49" s="4"/>
      <c r="G49" s="12" t="str">
        <f>IF($D49=1,TRIM(CLEAN('入力シート（2事業場以降）'!R35)),"")&amp;""</f>
        <v/>
      </c>
      <c r="W49" s="41" t="str">
        <f t="shared" si="4"/>
        <v>OK</v>
      </c>
      <c r="X49" t="str">
        <f t="shared" ca="1" si="11"/>
        <v>市区町村を入力してください。</v>
      </c>
      <c r="Y49">
        <f>IF(G49&lt;&gt;"",0,1)</f>
        <v>1</v>
      </c>
      <c r="AA49" t="str">
        <f>C49&amp;"を入力してください。"</f>
        <v>市区町村を入力してください。</v>
      </c>
    </row>
    <row r="50" spans="2:28" x14ac:dyDescent="0.2">
      <c r="B50" s="5">
        <v>8</v>
      </c>
      <c r="C50" s="5" t="s">
        <v>15</v>
      </c>
      <c r="D50" s="4">
        <f t="shared" si="3"/>
        <v>0</v>
      </c>
      <c r="E50" s="34" t="str">
        <f>DBCS('入力シート（2事業場以降）'!V35)</f>
        <v/>
      </c>
      <c r="F50" s="4"/>
      <c r="G50" s="12" t="str">
        <f>IF($D50=1,TRIM(CLEAN('入力シート（2事業場以降）'!V35)),"")&amp;""</f>
        <v/>
      </c>
      <c r="W50" s="41" t="str">
        <f t="shared" si="4"/>
        <v>OK</v>
      </c>
      <c r="X50" t="str">
        <f t="shared" ca="1" si="11"/>
        <v>町名地番を入力してください。</v>
      </c>
      <c r="Y50">
        <f>IF(G50&lt;&gt;"",0,1)</f>
        <v>1</v>
      </c>
      <c r="AA50" t="str">
        <f>C50&amp;"を入力してください。"</f>
        <v>町名地番を入力してください。</v>
      </c>
    </row>
    <row r="51" spans="2:28" x14ac:dyDescent="0.2">
      <c r="B51" s="5">
        <v>8</v>
      </c>
      <c r="C51" s="5" t="s">
        <v>18</v>
      </c>
      <c r="D51" s="4">
        <f t="shared" si="3"/>
        <v>0</v>
      </c>
      <c r="E51" s="34" t="str">
        <f>DBCS('入力シート（2事業場以降）'!Z35)</f>
        <v/>
      </c>
      <c r="F51" s="4"/>
      <c r="G51" s="12" t="str">
        <f>IF($D51=1,TRIM(CLEAN('入力シート（2事業場以降）'!Z35)),"")&amp;""</f>
        <v/>
      </c>
      <c r="W51" s="41" t="str">
        <f t="shared" si="4"/>
        <v>OK</v>
      </c>
    </row>
    <row r="52" spans="2:28" x14ac:dyDescent="0.2">
      <c r="B52" s="5">
        <v>9</v>
      </c>
      <c r="C52" s="5" t="s">
        <v>23</v>
      </c>
      <c r="D52" s="4">
        <f t="shared" ref="D52:D93" si="12">IF(AND(B52&lt;=$G$3),1,0)</f>
        <v>0</v>
      </c>
      <c r="E52" s="34" t="str">
        <f>DBCS('入力シート（2事業場以降）'!F37)</f>
        <v/>
      </c>
      <c r="F52" s="4" t="str">
        <f>SUBSTITUTE(SUBSTITUTE(SUBSTITUTE(SUBSTITUTE(E52,"　株式会社","株式会社"),"会社　","会社"),"　有限会社","有限会社"),"　合同会社","合同会社")</f>
        <v/>
      </c>
      <c r="G52" s="13" t="str">
        <f>IF($D52=1,TRIM(CLEAN(F52)),"")&amp;""</f>
        <v/>
      </c>
      <c r="W52" s="41" t="str">
        <f t="shared" ref="W52:W93" si="13">IF(B52&lt;=$G$3,IF(X52="OK",X52,"NG"),"OK")</f>
        <v>OK</v>
      </c>
      <c r="X52" t="str">
        <f t="shared" ref="X52:X56" ca="1" si="14">IF(Y52=0,IF(Z52&lt;&gt;0,OFFSET(AA52,0,Z52),$V$1),AA52)</f>
        <v>事業場名を入力してください。</v>
      </c>
      <c r="Y52">
        <f>IF(G52&lt;&gt;"",0,1)</f>
        <v>1</v>
      </c>
      <c r="AA52" t="str">
        <f>C52&amp;"を入力してください。"</f>
        <v>事業場名を入力してください。</v>
      </c>
    </row>
    <row r="53" spans="2:28" x14ac:dyDescent="0.2">
      <c r="B53" s="5">
        <v>9</v>
      </c>
      <c r="C53" s="5" t="s">
        <v>8</v>
      </c>
      <c r="D53" s="4">
        <f t="shared" si="12"/>
        <v>0</v>
      </c>
      <c r="E53" s="4"/>
      <c r="F53" s="4"/>
      <c r="G53" s="12" t="str">
        <f>IF($D53=1,TRIM(CLEAN(ASC('入力シート（2事業場以降）'!L37))),"")&amp;""</f>
        <v/>
      </c>
      <c r="H53" s="12" t="str">
        <f>IF($D53=1,TRIM(CLEAN(ASC('入力シート（2事業場以降）'!N37))),"")&amp;""</f>
        <v/>
      </c>
      <c r="W53" s="41" t="str">
        <f t="shared" si="13"/>
        <v>OK</v>
      </c>
      <c r="X53" t="str">
        <f t="shared" ca="1" si="14"/>
        <v>郵便番号を入力してください。</v>
      </c>
      <c r="Y53">
        <f>IF(AND(LEN(G53)=3,LEN(H53)=4)=TRUE,0,1)</f>
        <v>1</v>
      </c>
      <c r="Z53">
        <f>IFERROR(IF(0&lt;VALUE(G53),0,1),1)</f>
        <v>1</v>
      </c>
      <c r="AA53" t="str">
        <f>C53&amp;"を入力してください。"</f>
        <v>郵便番号を入力してください。</v>
      </c>
      <c r="AB53" t="str">
        <f>"正しい"&amp;C53&amp;"を入力してください。"</f>
        <v>正しい郵便番号を入力してください。</v>
      </c>
    </row>
    <row r="54" spans="2:28" x14ac:dyDescent="0.2">
      <c r="B54" s="5">
        <v>9</v>
      </c>
      <c r="C54" s="5" t="s">
        <v>10</v>
      </c>
      <c r="D54" s="4">
        <f t="shared" si="12"/>
        <v>0</v>
      </c>
      <c r="E54" s="4"/>
      <c r="F54" s="4"/>
      <c r="G54" s="12" t="str">
        <f>IF($D54=1,TRIM(CLEAN('入力シート（2事業場以降）'!P37)),"")&amp;""</f>
        <v/>
      </c>
      <c r="W54" s="41" t="str">
        <f t="shared" si="13"/>
        <v>OK</v>
      </c>
      <c r="X54" t="str">
        <f t="shared" ca="1" si="14"/>
        <v>都道府県を選択してください。</v>
      </c>
      <c r="Y54">
        <f>IF(G54&lt;&gt;"",0,1)</f>
        <v>1</v>
      </c>
      <c r="AA54" t="str">
        <f>C54&amp;"を選択してください。"</f>
        <v>都道府県を選択してください。</v>
      </c>
    </row>
    <row r="55" spans="2:28" x14ac:dyDescent="0.2">
      <c r="B55" s="5">
        <v>9</v>
      </c>
      <c r="C55" s="5" t="s">
        <v>13</v>
      </c>
      <c r="D55" s="4">
        <f t="shared" si="12"/>
        <v>0</v>
      </c>
      <c r="E55" s="34" t="str">
        <f>DBCS('入力シート（2事業場以降）'!R37)</f>
        <v/>
      </c>
      <c r="F55" s="4"/>
      <c r="G55" s="12" t="str">
        <f>IF($D55=1,TRIM(CLEAN('入力シート（2事業場以降）'!R37)),"")&amp;""</f>
        <v/>
      </c>
      <c r="W55" s="41" t="str">
        <f t="shared" si="13"/>
        <v>OK</v>
      </c>
      <c r="X55" t="str">
        <f t="shared" ca="1" si="14"/>
        <v>市区町村を入力してください。</v>
      </c>
      <c r="Y55">
        <f>IF(G55&lt;&gt;"",0,1)</f>
        <v>1</v>
      </c>
      <c r="AA55" t="str">
        <f>C55&amp;"を入力してください。"</f>
        <v>市区町村を入力してください。</v>
      </c>
    </row>
    <row r="56" spans="2:28" x14ac:dyDescent="0.2">
      <c r="B56" s="5">
        <v>9</v>
      </c>
      <c r="C56" s="5" t="s">
        <v>15</v>
      </c>
      <c r="D56" s="4">
        <f t="shared" si="12"/>
        <v>0</v>
      </c>
      <c r="E56" s="34" t="str">
        <f>DBCS('入力シート（2事業場以降）'!V37)</f>
        <v/>
      </c>
      <c r="F56" s="4"/>
      <c r="G56" s="12" t="str">
        <f>IF($D56=1,TRIM(CLEAN('入力シート（2事業場以降）'!V37)),"")&amp;""</f>
        <v/>
      </c>
      <c r="W56" s="41" t="str">
        <f t="shared" si="13"/>
        <v>OK</v>
      </c>
      <c r="X56" t="str">
        <f t="shared" ca="1" si="14"/>
        <v>町名地番を入力してください。</v>
      </c>
      <c r="Y56">
        <f>IF(G56&lt;&gt;"",0,1)</f>
        <v>1</v>
      </c>
      <c r="AA56" t="str">
        <f>C56&amp;"を入力してください。"</f>
        <v>町名地番を入力してください。</v>
      </c>
    </row>
    <row r="57" spans="2:28" x14ac:dyDescent="0.2">
      <c r="B57" s="5">
        <v>9</v>
      </c>
      <c r="C57" s="5" t="s">
        <v>18</v>
      </c>
      <c r="D57" s="4">
        <f t="shared" si="12"/>
        <v>0</v>
      </c>
      <c r="E57" s="34" t="str">
        <f>DBCS('入力シート（2事業場以降）'!Z37)</f>
        <v/>
      </c>
      <c r="F57" s="4"/>
      <c r="G57" s="12" t="str">
        <f>IF($D57=1,TRIM(CLEAN('入力シート（2事業場以降）'!Z37)),"")&amp;""</f>
        <v/>
      </c>
      <c r="W57" s="41" t="str">
        <f t="shared" si="13"/>
        <v>OK</v>
      </c>
    </row>
    <row r="58" spans="2:28" x14ac:dyDescent="0.2">
      <c r="B58" s="5">
        <v>10</v>
      </c>
      <c r="C58" s="5" t="s">
        <v>23</v>
      </c>
      <c r="D58" s="4">
        <f t="shared" si="12"/>
        <v>0</v>
      </c>
      <c r="E58" s="34" t="str">
        <f>DBCS('入力シート（2事業場以降）'!F39)</f>
        <v/>
      </c>
      <c r="F58" s="4" t="str">
        <f>SUBSTITUTE(SUBSTITUTE(SUBSTITUTE(SUBSTITUTE(E58,"　株式会社","株式会社"),"会社　","会社"),"　有限会社","有限会社"),"　合同会社","合同会社")</f>
        <v/>
      </c>
      <c r="G58" s="13" t="str">
        <f>IF($D58=1,TRIM(CLEAN(F58)),"")&amp;""</f>
        <v/>
      </c>
      <c r="W58" s="41" t="str">
        <f t="shared" si="13"/>
        <v>OK</v>
      </c>
      <c r="X58" t="str">
        <f t="shared" ref="X58:X62" ca="1" si="15">IF(Y58=0,IF(Z58&lt;&gt;0,OFFSET(AA58,0,Z58),$V$1),AA58)</f>
        <v>事業場名を入力してください。</v>
      </c>
      <c r="Y58">
        <f>IF(G58&lt;&gt;"",0,1)</f>
        <v>1</v>
      </c>
      <c r="AA58" t="str">
        <f>C58&amp;"を入力してください。"</f>
        <v>事業場名を入力してください。</v>
      </c>
    </row>
    <row r="59" spans="2:28" x14ac:dyDescent="0.2">
      <c r="B59" s="5">
        <v>10</v>
      </c>
      <c r="C59" s="5" t="s">
        <v>8</v>
      </c>
      <c r="D59" s="4">
        <f t="shared" si="12"/>
        <v>0</v>
      </c>
      <c r="E59" s="4"/>
      <c r="F59" s="4"/>
      <c r="G59" s="12" t="str">
        <f>IF($D59=1,TRIM(CLEAN(ASC('入力シート（2事業場以降）'!L39))),"")&amp;""</f>
        <v/>
      </c>
      <c r="H59" s="12" t="str">
        <f>IF($D59=1,TRIM(CLEAN(ASC('入力シート（2事業場以降）'!N39))),"")&amp;""</f>
        <v/>
      </c>
      <c r="W59" s="41" t="str">
        <f t="shared" si="13"/>
        <v>OK</v>
      </c>
      <c r="X59" t="str">
        <f t="shared" ca="1" si="15"/>
        <v>郵便番号を入力してください。</v>
      </c>
      <c r="Y59">
        <f>IF(AND(LEN(G59)=3,LEN(H59)=4)=TRUE,0,1)</f>
        <v>1</v>
      </c>
      <c r="Z59">
        <f>IFERROR(IF(0&lt;VALUE(G59),0,1),1)</f>
        <v>1</v>
      </c>
      <c r="AA59" t="str">
        <f>C59&amp;"を入力してください。"</f>
        <v>郵便番号を入力してください。</v>
      </c>
      <c r="AB59" t="str">
        <f>"正しい"&amp;C59&amp;"を入力してください。"</f>
        <v>正しい郵便番号を入力してください。</v>
      </c>
    </row>
    <row r="60" spans="2:28" x14ac:dyDescent="0.2">
      <c r="B60" s="5">
        <v>10</v>
      </c>
      <c r="C60" s="5" t="s">
        <v>10</v>
      </c>
      <c r="D60" s="4">
        <f t="shared" si="12"/>
        <v>0</v>
      </c>
      <c r="E60" s="4"/>
      <c r="F60" s="4"/>
      <c r="G60" s="12" t="str">
        <f>IF($D60=1,TRIM(CLEAN('入力シート（2事業場以降）'!P39)),"")&amp;""</f>
        <v/>
      </c>
      <c r="W60" s="41" t="str">
        <f t="shared" si="13"/>
        <v>OK</v>
      </c>
      <c r="X60" t="str">
        <f t="shared" ca="1" si="15"/>
        <v>都道府県を選択してください。</v>
      </c>
      <c r="Y60">
        <f>IF(G60&lt;&gt;"",0,1)</f>
        <v>1</v>
      </c>
      <c r="AA60" t="str">
        <f>C60&amp;"を選択してください。"</f>
        <v>都道府県を選択してください。</v>
      </c>
    </row>
    <row r="61" spans="2:28" x14ac:dyDescent="0.2">
      <c r="B61" s="5">
        <v>10</v>
      </c>
      <c r="C61" s="5" t="s">
        <v>13</v>
      </c>
      <c r="D61" s="4">
        <f t="shared" si="12"/>
        <v>0</v>
      </c>
      <c r="E61" s="34" t="str">
        <f>DBCS('入力シート（2事業場以降）'!R39)</f>
        <v/>
      </c>
      <c r="F61" s="4"/>
      <c r="G61" s="12" t="str">
        <f>IF($D61=1,TRIM(CLEAN('入力シート（2事業場以降）'!R39)),"")&amp;""</f>
        <v/>
      </c>
      <c r="W61" s="41" t="str">
        <f t="shared" si="13"/>
        <v>OK</v>
      </c>
      <c r="X61" t="str">
        <f t="shared" ca="1" si="15"/>
        <v>市区町村を入力してください。</v>
      </c>
      <c r="Y61">
        <f>IF(G61&lt;&gt;"",0,1)</f>
        <v>1</v>
      </c>
      <c r="AA61" t="str">
        <f>C61&amp;"を入力してください。"</f>
        <v>市区町村を入力してください。</v>
      </c>
    </row>
    <row r="62" spans="2:28" x14ac:dyDescent="0.2">
      <c r="B62" s="5">
        <v>10</v>
      </c>
      <c r="C62" s="5" t="s">
        <v>15</v>
      </c>
      <c r="D62" s="4">
        <f t="shared" si="12"/>
        <v>0</v>
      </c>
      <c r="E62" s="34" t="str">
        <f>DBCS('入力シート（2事業場以降）'!V39)</f>
        <v/>
      </c>
      <c r="F62" s="4"/>
      <c r="G62" s="12" t="str">
        <f>IF($D62=1,TRIM(CLEAN('入力シート（2事業場以降）'!V39)),"")&amp;""</f>
        <v/>
      </c>
      <c r="W62" s="41" t="str">
        <f t="shared" si="13"/>
        <v>OK</v>
      </c>
      <c r="X62" t="str">
        <f t="shared" ca="1" si="15"/>
        <v>町名地番を入力してください。</v>
      </c>
      <c r="Y62">
        <f>IF(G62&lt;&gt;"",0,1)</f>
        <v>1</v>
      </c>
      <c r="AA62" t="str">
        <f>C62&amp;"を入力してください。"</f>
        <v>町名地番を入力してください。</v>
      </c>
    </row>
    <row r="63" spans="2:28" x14ac:dyDescent="0.2">
      <c r="B63" s="5">
        <v>10</v>
      </c>
      <c r="C63" s="5" t="s">
        <v>18</v>
      </c>
      <c r="D63" s="4">
        <f t="shared" si="12"/>
        <v>0</v>
      </c>
      <c r="E63" s="34" t="str">
        <f>DBCS('入力シート（2事業場以降）'!Z39)</f>
        <v/>
      </c>
      <c r="F63" s="4"/>
      <c r="G63" s="12" t="str">
        <f>IF($D63=1,TRIM(CLEAN('入力シート（2事業場以降）'!Z39)),"")&amp;""</f>
        <v/>
      </c>
      <c r="W63" s="41" t="str">
        <f t="shared" si="13"/>
        <v>OK</v>
      </c>
    </row>
    <row r="64" spans="2:28" x14ac:dyDescent="0.2">
      <c r="B64" s="5">
        <v>11</v>
      </c>
      <c r="C64" s="5" t="s">
        <v>23</v>
      </c>
      <c r="D64" s="4">
        <f t="shared" si="12"/>
        <v>0</v>
      </c>
      <c r="E64" s="34" t="str">
        <f>DBCS('入力シート（2事業場以降）'!F41)</f>
        <v/>
      </c>
      <c r="F64" s="4" t="str">
        <f>SUBSTITUTE(SUBSTITUTE(SUBSTITUTE(SUBSTITUTE(E64,"　株式会社","株式会社"),"会社　","会社"),"　有限会社","有限会社"),"　合同会社","合同会社")</f>
        <v/>
      </c>
      <c r="G64" s="13" t="str">
        <f>IF($D64=1,TRIM(CLEAN(F64)),"")&amp;""</f>
        <v/>
      </c>
      <c r="W64" s="41" t="str">
        <f t="shared" si="13"/>
        <v>OK</v>
      </c>
      <c r="X64" t="str">
        <f t="shared" ref="X64:X68" ca="1" si="16">IF(Y64=0,IF(Z64&lt;&gt;0,OFFSET(AA64,0,Z64),$V$1),AA64)</f>
        <v>事業場名を入力してください。</v>
      </c>
      <c r="Y64">
        <f>IF(G64&lt;&gt;"",0,1)</f>
        <v>1</v>
      </c>
      <c r="AA64" t="str">
        <f>C64&amp;"を入力してください。"</f>
        <v>事業場名を入力してください。</v>
      </c>
    </row>
    <row r="65" spans="2:28" x14ac:dyDescent="0.2">
      <c r="B65" s="5">
        <v>11</v>
      </c>
      <c r="C65" s="5" t="s">
        <v>8</v>
      </c>
      <c r="D65" s="4">
        <f t="shared" si="12"/>
        <v>0</v>
      </c>
      <c r="E65" s="4"/>
      <c r="F65" s="4"/>
      <c r="G65" s="12" t="str">
        <f>IF($D65=1,TRIM(CLEAN(ASC('入力シート（2事業場以降）'!L41))),"")&amp;""</f>
        <v/>
      </c>
      <c r="H65" s="12" t="str">
        <f>IF($D65=1,TRIM(CLEAN(ASC('入力シート（2事業場以降）'!N41))),"")&amp;""</f>
        <v/>
      </c>
      <c r="W65" s="41" t="str">
        <f t="shared" si="13"/>
        <v>OK</v>
      </c>
      <c r="X65" t="str">
        <f t="shared" ca="1" si="16"/>
        <v>郵便番号を入力してください。</v>
      </c>
      <c r="Y65">
        <f>IF(AND(LEN(G65)=3,LEN(H65)=4)=TRUE,0,1)</f>
        <v>1</v>
      </c>
      <c r="Z65">
        <f>IFERROR(IF(0&lt;VALUE(G65),0,1),1)</f>
        <v>1</v>
      </c>
      <c r="AA65" t="str">
        <f>C65&amp;"を入力してください。"</f>
        <v>郵便番号を入力してください。</v>
      </c>
      <c r="AB65" t="str">
        <f>"正しい"&amp;C65&amp;"を入力してください。"</f>
        <v>正しい郵便番号を入力してください。</v>
      </c>
    </row>
    <row r="66" spans="2:28" x14ac:dyDescent="0.2">
      <c r="B66" s="5">
        <v>11</v>
      </c>
      <c r="C66" s="5" t="s">
        <v>10</v>
      </c>
      <c r="D66" s="4">
        <f t="shared" si="12"/>
        <v>0</v>
      </c>
      <c r="E66" s="4"/>
      <c r="F66" s="4"/>
      <c r="G66" s="12" t="str">
        <f>IF($D66=1,TRIM(CLEAN('入力シート（2事業場以降）'!P41)),"")&amp;""</f>
        <v/>
      </c>
      <c r="W66" s="41" t="str">
        <f t="shared" si="13"/>
        <v>OK</v>
      </c>
      <c r="X66" t="str">
        <f t="shared" ca="1" si="16"/>
        <v>都道府県を選択してください。</v>
      </c>
      <c r="Y66">
        <f>IF(G66&lt;&gt;"",0,1)</f>
        <v>1</v>
      </c>
      <c r="AA66" t="str">
        <f>C66&amp;"を選択してください。"</f>
        <v>都道府県を選択してください。</v>
      </c>
    </row>
    <row r="67" spans="2:28" x14ac:dyDescent="0.2">
      <c r="B67" s="5">
        <v>11</v>
      </c>
      <c r="C67" s="5" t="s">
        <v>13</v>
      </c>
      <c r="D67" s="4">
        <f t="shared" si="12"/>
        <v>0</v>
      </c>
      <c r="E67" s="34" t="str">
        <f>DBCS('入力シート（2事業場以降）'!R41)</f>
        <v/>
      </c>
      <c r="F67" s="4"/>
      <c r="G67" s="12" t="str">
        <f>IF($D67=1,TRIM(CLEAN('入力シート（2事業場以降）'!R41)),"")&amp;""</f>
        <v/>
      </c>
      <c r="W67" s="41" t="str">
        <f t="shared" si="13"/>
        <v>OK</v>
      </c>
      <c r="X67" t="str">
        <f t="shared" ca="1" si="16"/>
        <v>市区町村を入力してください。</v>
      </c>
      <c r="Y67">
        <f>IF(G67&lt;&gt;"",0,1)</f>
        <v>1</v>
      </c>
      <c r="AA67" t="str">
        <f>C67&amp;"を入力してください。"</f>
        <v>市区町村を入力してください。</v>
      </c>
    </row>
    <row r="68" spans="2:28" x14ac:dyDescent="0.2">
      <c r="B68" s="5">
        <v>11</v>
      </c>
      <c r="C68" s="5" t="s">
        <v>15</v>
      </c>
      <c r="D68" s="4">
        <f t="shared" si="12"/>
        <v>0</v>
      </c>
      <c r="E68" s="34" t="str">
        <f>DBCS('入力シート（2事業場以降）'!V41)</f>
        <v/>
      </c>
      <c r="F68" s="4"/>
      <c r="G68" s="12" t="str">
        <f>IF($D68=1,TRIM(CLEAN('入力シート（2事業場以降）'!V41)),"")&amp;""</f>
        <v/>
      </c>
      <c r="W68" s="41" t="str">
        <f t="shared" si="13"/>
        <v>OK</v>
      </c>
      <c r="X68" t="str">
        <f t="shared" ca="1" si="16"/>
        <v>町名地番を入力してください。</v>
      </c>
      <c r="Y68">
        <f>IF(G68&lt;&gt;"",0,1)</f>
        <v>1</v>
      </c>
      <c r="AA68" t="str">
        <f>C68&amp;"を入力してください。"</f>
        <v>町名地番を入力してください。</v>
      </c>
    </row>
    <row r="69" spans="2:28" x14ac:dyDescent="0.2">
      <c r="B69" s="5">
        <v>11</v>
      </c>
      <c r="C69" s="5" t="s">
        <v>18</v>
      </c>
      <c r="D69" s="4">
        <f t="shared" si="12"/>
        <v>0</v>
      </c>
      <c r="E69" s="34" t="str">
        <f>DBCS('入力シート（2事業場以降）'!Z41)</f>
        <v/>
      </c>
      <c r="F69" s="4"/>
      <c r="G69" s="12" t="str">
        <f>IF($D69=1,TRIM(CLEAN('入力シート（2事業場以降）'!Z41)),"")&amp;""</f>
        <v/>
      </c>
      <c r="W69" s="41" t="str">
        <f t="shared" si="13"/>
        <v>OK</v>
      </c>
    </row>
    <row r="70" spans="2:28" x14ac:dyDescent="0.2">
      <c r="B70" s="5">
        <v>12</v>
      </c>
      <c r="C70" s="5" t="s">
        <v>23</v>
      </c>
      <c r="D70" s="4">
        <f t="shared" si="12"/>
        <v>0</v>
      </c>
      <c r="E70" s="34" t="str">
        <f>DBCS('入力シート（2事業場以降）'!F43)</f>
        <v/>
      </c>
      <c r="F70" s="4" t="str">
        <f>SUBSTITUTE(SUBSTITUTE(SUBSTITUTE(SUBSTITUTE(E70,"　株式会社","株式会社"),"会社　","会社"),"　有限会社","有限会社"),"　合同会社","合同会社")</f>
        <v/>
      </c>
      <c r="G70" s="13" t="str">
        <f>IF($D70=1,TRIM(CLEAN(F70)),"")&amp;""</f>
        <v/>
      </c>
      <c r="W70" s="41" t="str">
        <f t="shared" si="13"/>
        <v>OK</v>
      </c>
      <c r="X70" t="str">
        <f t="shared" ref="X70:X74" ca="1" si="17">IF(Y70=0,IF(Z70&lt;&gt;0,OFFSET(AA70,0,Z70),$V$1),AA70)</f>
        <v>事業場名を入力してください。</v>
      </c>
      <c r="Y70">
        <f>IF(G70&lt;&gt;"",0,1)</f>
        <v>1</v>
      </c>
      <c r="AA70" t="str">
        <f>C70&amp;"を入力してください。"</f>
        <v>事業場名を入力してください。</v>
      </c>
    </row>
    <row r="71" spans="2:28" x14ac:dyDescent="0.2">
      <c r="B71" s="5">
        <v>12</v>
      </c>
      <c r="C71" s="5" t="s">
        <v>8</v>
      </c>
      <c r="D71" s="4">
        <f t="shared" si="12"/>
        <v>0</v>
      </c>
      <c r="E71" s="4"/>
      <c r="F71" s="4"/>
      <c r="G71" s="12" t="str">
        <f>IF($D71=1,TRIM(CLEAN(ASC('入力シート（2事業場以降）'!L43))),"")&amp;""</f>
        <v/>
      </c>
      <c r="H71" s="12" t="str">
        <f>IF($D71=1,TRIM(CLEAN(ASC('入力シート（2事業場以降）'!N43))),"")&amp;""</f>
        <v/>
      </c>
      <c r="W71" s="41" t="str">
        <f t="shared" si="13"/>
        <v>OK</v>
      </c>
      <c r="X71" t="str">
        <f t="shared" ca="1" si="17"/>
        <v>郵便番号を入力してください。</v>
      </c>
      <c r="Y71">
        <f>IF(AND(LEN(G71)=3,LEN(H71)=4)=TRUE,0,1)</f>
        <v>1</v>
      </c>
      <c r="Z71">
        <f>IFERROR(IF(0&lt;VALUE(G71),0,1),1)</f>
        <v>1</v>
      </c>
      <c r="AA71" t="str">
        <f>C71&amp;"を入力してください。"</f>
        <v>郵便番号を入力してください。</v>
      </c>
      <c r="AB71" t="str">
        <f>"正しい"&amp;C71&amp;"を入力してください。"</f>
        <v>正しい郵便番号を入力してください。</v>
      </c>
    </row>
    <row r="72" spans="2:28" x14ac:dyDescent="0.2">
      <c r="B72" s="5">
        <v>12</v>
      </c>
      <c r="C72" s="5" t="s">
        <v>10</v>
      </c>
      <c r="D72" s="4">
        <f t="shared" si="12"/>
        <v>0</v>
      </c>
      <c r="E72" s="4"/>
      <c r="F72" s="4"/>
      <c r="G72" s="12" t="str">
        <f>IF($D72=1,TRIM(CLEAN('入力シート（2事業場以降）'!P43)),"")&amp;""</f>
        <v/>
      </c>
      <c r="W72" s="41" t="str">
        <f t="shared" si="13"/>
        <v>OK</v>
      </c>
      <c r="X72" t="str">
        <f t="shared" ca="1" si="17"/>
        <v>都道府県を選択してください。</v>
      </c>
      <c r="Y72">
        <f>IF(G72&lt;&gt;"",0,1)</f>
        <v>1</v>
      </c>
      <c r="AA72" t="str">
        <f>C72&amp;"を選択してください。"</f>
        <v>都道府県を選択してください。</v>
      </c>
    </row>
    <row r="73" spans="2:28" x14ac:dyDescent="0.2">
      <c r="B73" s="5">
        <v>12</v>
      </c>
      <c r="C73" s="5" t="s">
        <v>13</v>
      </c>
      <c r="D73" s="4">
        <f t="shared" si="12"/>
        <v>0</v>
      </c>
      <c r="E73" s="34" t="str">
        <f>DBCS('入力シート（2事業場以降）'!R43)</f>
        <v/>
      </c>
      <c r="F73" s="4"/>
      <c r="G73" s="12" t="str">
        <f>IF($D73=1,TRIM(CLEAN('入力シート（2事業場以降）'!R43)),"")&amp;""</f>
        <v/>
      </c>
      <c r="W73" s="41" t="str">
        <f t="shared" si="13"/>
        <v>OK</v>
      </c>
      <c r="X73" t="str">
        <f t="shared" ca="1" si="17"/>
        <v>市区町村を入力してください。</v>
      </c>
      <c r="Y73">
        <f>IF(G73&lt;&gt;"",0,1)</f>
        <v>1</v>
      </c>
      <c r="AA73" t="str">
        <f>C73&amp;"を入力してください。"</f>
        <v>市区町村を入力してください。</v>
      </c>
    </row>
    <row r="74" spans="2:28" x14ac:dyDescent="0.2">
      <c r="B74" s="5">
        <v>12</v>
      </c>
      <c r="C74" s="5" t="s">
        <v>15</v>
      </c>
      <c r="D74" s="4">
        <f t="shared" si="12"/>
        <v>0</v>
      </c>
      <c r="E74" s="34" t="str">
        <f>DBCS('入力シート（2事業場以降）'!V43)</f>
        <v/>
      </c>
      <c r="F74" s="4"/>
      <c r="G74" s="12" t="str">
        <f>IF($D74=1,TRIM(CLEAN('入力シート（2事業場以降）'!V43)),"")&amp;""</f>
        <v/>
      </c>
      <c r="W74" s="41" t="str">
        <f t="shared" si="13"/>
        <v>OK</v>
      </c>
      <c r="X74" t="str">
        <f t="shared" ca="1" si="17"/>
        <v>町名地番を入力してください。</v>
      </c>
      <c r="Y74">
        <f>IF(G74&lt;&gt;"",0,1)</f>
        <v>1</v>
      </c>
      <c r="AA74" t="str">
        <f>C74&amp;"を入力してください。"</f>
        <v>町名地番を入力してください。</v>
      </c>
    </row>
    <row r="75" spans="2:28" x14ac:dyDescent="0.2">
      <c r="B75" s="5">
        <v>12</v>
      </c>
      <c r="C75" s="5" t="s">
        <v>18</v>
      </c>
      <c r="D75" s="4">
        <f t="shared" si="12"/>
        <v>0</v>
      </c>
      <c r="E75" s="34" t="str">
        <f>DBCS('入力シート（2事業場以降）'!Z43)</f>
        <v/>
      </c>
      <c r="F75" s="4"/>
      <c r="G75" s="12" t="str">
        <f>IF($D75=1,TRIM(CLEAN('入力シート（2事業場以降）'!Z43)),"")&amp;""</f>
        <v/>
      </c>
      <c r="W75" s="41" t="str">
        <f t="shared" si="13"/>
        <v>OK</v>
      </c>
    </row>
    <row r="76" spans="2:28" x14ac:dyDescent="0.2">
      <c r="B76" s="5">
        <v>13</v>
      </c>
      <c r="C76" s="5" t="s">
        <v>23</v>
      </c>
      <c r="D76" s="4">
        <f t="shared" si="12"/>
        <v>0</v>
      </c>
      <c r="E76" s="34" t="str">
        <f>DBCS('入力シート（2事業場以降）'!F45)</f>
        <v/>
      </c>
      <c r="F76" s="4" t="str">
        <f>SUBSTITUTE(SUBSTITUTE(SUBSTITUTE(SUBSTITUTE(E76,"　株式会社","株式会社"),"会社　","会社"),"　有限会社","有限会社"),"　合同会社","合同会社")</f>
        <v/>
      </c>
      <c r="G76" s="13" t="str">
        <f>IF($D76=1,TRIM(CLEAN(F76)),"")&amp;""</f>
        <v/>
      </c>
      <c r="W76" s="41" t="str">
        <f t="shared" si="13"/>
        <v>OK</v>
      </c>
      <c r="X76" t="str">
        <f t="shared" ref="X76:X80" ca="1" si="18">IF(Y76=0,IF(Z76&lt;&gt;0,OFFSET(AA76,0,Z76),$V$1),AA76)</f>
        <v>事業場名を入力してください。</v>
      </c>
      <c r="Y76">
        <f>IF(G76&lt;&gt;"",0,1)</f>
        <v>1</v>
      </c>
      <c r="AA76" t="str">
        <f>C76&amp;"を入力してください。"</f>
        <v>事業場名を入力してください。</v>
      </c>
    </row>
    <row r="77" spans="2:28" x14ac:dyDescent="0.2">
      <c r="B77" s="5">
        <v>13</v>
      </c>
      <c r="C77" s="5" t="s">
        <v>8</v>
      </c>
      <c r="D77" s="4">
        <f t="shared" si="12"/>
        <v>0</v>
      </c>
      <c r="E77" s="4"/>
      <c r="F77" s="4"/>
      <c r="G77" s="12" t="str">
        <f>IF($D77=1,TRIM(CLEAN(ASC('入力シート（2事業場以降）'!L45))),"")&amp;""</f>
        <v/>
      </c>
      <c r="H77" s="12" t="str">
        <f>IF($D77=1,TRIM(CLEAN(ASC('入力シート（2事業場以降）'!N45))),"")&amp;""</f>
        <v/>
      </c>
      <c r="W77" s="41" t="str">
        <f t="shared" si="13"/>
        <v>OK</v>
      </c>
      <c r="X77" t="str">
        <f t="shared" ca="1" si="18"/>
        <v>郵便番号を入力してください。</v>
      </c>
      <c r="Y77">
        <f>IF(AND(LEN(G77)=3,LEN(H77)=4)=TRUE,0,1)</f>
        <v>1</v>
      </c>
      <c r="Z77">
        <f>IFERROR(IF(0&lt;VALUE(G77),0,1),1)</f>
        <v>1</v>
      </c>
      <c r="AA77" t="str">
        <f>C77&amp;"を入力してください。"</f>
        <v>郵便番号を入力してください。</v>
      </c>
      <c r="AB77" t="str">
        <f>"正しい"&amp;C77&amp;"を入力してください。"</f>
        <v>正しい郵便番号を入力してください。</v>
      </c>
    </row>
    <row r="78" spans="2:28" x14ac:dyDescent="0.2">
      <c r="B78" s="5">
        <v>13</v>
      </c>
      <c r="C78" s="5" t="s">
        <v>10</v>
      </c>
      <c r="D78" s="4">
        <f t="shared" si="12"/>
        <v>0</v>
      </c>
      <c r="E78" s="4"/>
      <c r="F78" s="4"/>
      <c r="G78" s="12" t="str">
        <f>IF($D78=1,TRIM(CLEAN('入力シート（2事業場以降）'!P45)),"")&amp;""</f>
        <v/>
      </c>
      <c r="W78" s="41" t="str">
        <f t="shared" si="13"/>
        <v>OK</v>
      </c>
      <c r="X78" t="str">
        <f t="shared" ca="1" si="18"/>
        <v>都道府県を選択してください。</v>
      </c>
      <c r="Y78">
        <f>IF(G78&lt;&gt;"",0,1)</f>
        <v>1</v>
      </c>
      <c r="AA78" t="str">
        <f>C78&amp;"を選択してください。"</f>
        <v>都道府県を選択してください。</v>
      </c>
    </row>
    <row r="79" spans="2:28" x14ac:dyDescent="0.2">
      <c r="B79" s="5">
        <v>13</v>
      </c>
      <c r="C79" s="5" t="s">
        <v>13</v>
      </c>
      <c r="D79" s="4">
        <f t="shared" si="12"/>
        <v>0</v>
      </c>
      <c r="E79" s="34" t="str">
        <f>DBCS('入力シート（2事業場以降）'!R45)</f>
        <v/>
      </c>
      <c r="F79" s="4"/>
      <c r="G79" s="12" t="str">
        <f>IF($D79=1,TRIM(CLEAN('入力シート（2事業場以降）'!R45)),"")&amp;""</f>
        <v/>
      </c>
      <c r="W79" s="41" t="str">
        <f t="shared" si="13"/>
        <v>OK</v>
      </c>
      <c r="X79" t="str">
        <f t="shared" ca="1" si="18"/>
        <v>市区町村を入力してください。</v>
      </c>
      <c r="Y79">
        <f>IF(G79&lt;&gt;"",0,1)</f>
        <v>1</v>
      </c>
      <c r="AA79" t="str">
        <f>C79&amp;"を入力してください。"</f>
        <v>市区町村を入力してください。</v>
      </c>
    </row>
    <row r="80" spans="2:28" x14ac:dyDescent="0.2">
      <c r="B80" s="5">
        <v>13</v>
      </c>
      <c r="C80" s="5" t="s">
        <v>15</v>
      </c>
      <c r="D80" s="4">
        <f t="shared" si="12"/>
        <v>0</v>
      </c>
      <c r="E80" s="34" t="str">
        <f>DBCS('入力シート（2事業場以降）'!V45)</f>
        <v/>
      </c>
      <c r="F80" s="4"/>
      <c r="G80" s="12" t="str">
        <f>IF($D80=1,TRIM(CLEAN('入力シート（2事業場以降）'!V45)),"")&amp;""</f>
        <v/>
      </c>
      <c r="W80" s="41" t="str">
        <f t="shared" si="13"/>
        <v>OK</v>
      </c>
      <c r="X80" t="str">
        <f t="shared" ca="1" si="18"/>
        <v>町名地番を入力してください。</v>
      </c>
      <c r="Y80">
        <f>IF(G80&lt;&gt;"",0,1)</f>
        <v>1</v>
      </c>
      <c r="AA80" t="str">
        <f>C80&amp;"を入力してください。"</f>
        <v>町名地番を入力してください。</v>
      </c>
    </row>
    <row r="81" spans="2:28" x14ac:dyDescent="0.2">
      <c r="B81" s="5">
        <v>13</v>
      </c>
      <c r="C81" s="5" t="s">
        <v>18</v>
      </c>
      <c r="D81" s="4">
        <f t="shared" si="12"/>
        <v>0</v>
      </c>
      <c r="E81" s="34" t="str">
        <f>DBCS('入力シート（2事業場以降）'!Z45)</f>
        <v/>
      </c>
      <c r="F81" s="4"/>
      <c r="G81" s="12" t="str">
        <f>IF($D81=1,TRIM(CLEAN('入力シート（2事業場以降）'!Z45)),"")&amp;""</f>
        <v/>
      </c>
      <c r="W81" s="41" t="str">
        <f t="shared" si="13"/>
        <v>OK</v>
      </c>
    </row>
    <row r="82" spans="2:28" x14ac:dyDescent="0.2">
      <c r="B82" s="5">
        <v>14</v>
      </c>
      <c r="C82" s="5" t="s">
        <v>23</v>
      </c>
      <c r="D82" s="4">
        <f t="shared" si="12"/>
        <v>0</v>
      </c>
      <c r="E82" s="34" t="str">
        <f>DBCS('入力シート（2事業場以降）'!F47)</f>
        <v/>
      </c>
      <c r="F82" s="4" t="str">
        <f>SUBSTITUTE(SUBSTITUTE(SUBSTITUTE(SUBSTITUTE(E82,"　株式会社","株式会社"),"会社　","会社"),"　有限会社","有限会社"),"　合同会社","合同会社")</f>
        <v/>
      </c>
      <c r="G82" s="13" t="str">
        <f>IF($D82=1,TRIM(CLEAN(F82)),"")&amp;""</f>
        <v/>
      </c>
      <c r="W82" s="41" t="str">
        <f t="shared" si="13"/>
        <v>OK</v>
      </c>
      <c r="X82" t="str">
        <f t="shared" ref="X82:X86" ca="1" si="19">IF(Y82=0,IF(Z82&lt;&gt;0,OFFSET(AA82,0,Z82),$V$1),AA82)</f>
        <v>事業場名を入力してください。</v>
      </c>
      <c r="Y82">
        <f>IF(G82&lt;&gt;"",0,1)</f>
        <v>1</v>
      </c>
      <c r="AA82" t="str">
        <f>C82&amp;"を入力してください。"</f>
        <v>事業場名を入力してください。</v>
      </c>
    </row>
    <row r="83" spans="2:28" x14ac:dyDescent="0.2">
      <c r="B83" s="5">
        <v>14</v>
      </c>
      <c r="C83" s="5" t="s">
        <v>8</v>
      </c>
      <c r="D83" s="4">
        <f t="shared" si="12"/>
        <v>0</v>
      </c>
      <c r="E83" s="4"/>
      <c r="F83" s="4"/>
      <c r="G83" s="12" t="str">
        <f>IF($D83=1,TRIM(CLEAN(ASC('入力シート（2事業場以降）'!L47))),"")&amp;""</f>
        <v/>
      </c>
      <c r="H83" s="12" t="str">
        <f>IF($D83=1,TRIM(CLEAN(ASC('入力シート（2事業場以降）'!N47))),"")&amp;""</f>
        <v/>
      </c>
      <c r="W83" s="41" t="str">
        <f t="shared" si="13"/>
        <v>OK</v>
      </c>
      <c r="X83" t="str">
        <f t="shared" ca="1" si="19"/>
        <v>郵便番号を入力してください。</v>
      </c>
      <c r="Y83">
        <f>IF(AND(LEN(G83)=3,LEN(H83)=4)=TRUE,0,1)</f>
        <v>1</v>
      </c>
      <c r="Z83">
        <f>IFERROR(IF(0&lt;VALUE(G83),0,1),1)</f>
        <v>1</v>
      </c>
      <c r="AA83" t="str">
        <f>C83&amp;"を入力してください。"</f>
        <v>郵便番号を入力してください。</v>
      </c>
      <c r="AB83" t="str">
        <f>"正しい"&amp;C83&amp;"を入力してください。"</f>
        <v>正しい郵便番号を入力してください。</v>
      </c>
    </row>
    <row r="84" spans="2:28" x14ac:dyDescent="0.2">
      <c r="B84" s="5">
        <v>14</v>
      </c>
      <c r="C84" s="5" t="s">
        <v>10</v>
      </c>
      <c r="D84" s="4">
        <f t="shared" si="12"/>
        <v>0</v>
      </c>
      <c r="E84" s="4"/>
      <c r="F84" s="4"/>
      <c r="G84" s="12" t="str">
        <f>IF($D84=1,TRIM(CLEAN('入力シート（2事業場以降）'!P47)),"")&amp;""</f>
        <v/>
      </c>
      <c r="W84" s="41" t="str">
        <f t="shared" si="13"/>
        <v>OK</v>
      </c>
      <c r="X84" t="str">
        <f t="shared" ca="1" si="19"/>
        <v>都道府県を選択してください。</v>
      </c>
      <c r="Y84">
        <f>IF(G84&lt;&gt;"",0,1)</f>
        <v>1</v>
      </c>
      <c r="AA84" t="str">
        <f>C84&amp;"を選択してください。"</f>
        <v>都道府県を選択してください。</v>
      </c>
    </row>
    <row r="85" spans="2:28" x14ac:dyDescent="0.2">
      <c r="B85" s="5">
        <v>14</v>
      </c>
      <c r="C85" s="5" t="s">
        <v>13</v>
      </c>
      <c r="D85" s="4">
        <f t="shared" si="12"/>
        <v>0</v>
      </c>
      <c r="E85" s="34" t="str">
        <f>DBCS('入力シート（2事業場以降）'!R47)</f>
        <v/>
      </c>
      <c r="F85" s="4"/>
      <c r="G85" s="12" t="str">
        <f>IF($D85=1,TRIM(CLEAN('入力シート（2事業場以降）'!R47)),"")&amp;""</f>
        <v/>
      </c>
      <c r="W85" s="41" t="str">
        <f t="shared" si="13"/>
        <v>OK</v>
      </c>
      <c r="X85" t="str">
        <f t="shared" ca="1" si="19"/>
        <v>市区町村を入力してください。</v>
      </c>
      <c r="Y85">
        <f>IF(G85&lt;&gt;"",0,1)</f>
        <v>1</v>
      </c>
      <c r="AA85" t="str">
        <f>C85&amp;"を入力してください。"</f>
        <v>市区町村を入力してください。</v>
      </c>
    </row>
    <row r="86" spans="2:28" x14ac:dyDescent="0.2">
      <c r="B86" s="5">
        <v>14</v>
      </c>
      <c r="C86" s="5" t="s">
        <v>15</v>
      </c>
      <c r="D86" s="4">
        <f t="shared" si="12"/>
        <v>0</v>
      </c>
      <c r="E86" s="34" t="str">
        <f>DBCS('入力シート（2事業場以降）'!V47)</f>
        <v/>
      </c>
      <c r="F86" s="4"/>
      <c r="G86" s="12" t="str">
        <f>IF($D86=1,TRIM(CLEAN('入力シート（2事業場以降）'!V47)),"")&amp;""</f>
        <v/>
      </c>
      <c r="W86" s="41" t="str">
        <f t="shared" si="13"/>
        <v>OK</v>
      </c>
      <c r="X86" t="str">
        <f t="shared" ca="1" si="19"/>
        <v>町名地番を入力してください。</v>
      </c>
      <c r="Y86">
        <f>IF(G86&lt;&gt;"",0,1)</f>
        <v>1</v>
      </c>
      <c r="AA86" t="str">
        <f>C86&amp;"を入力してください。"</f>
        <v>町名地番を入力してください。</v>
      </c>
    </row>
    <row r="87" spans="2:28" x14ac:dyDescent="0.2">
      <c r="B87" s="5">
        <v>14</v>
      </c>
      <c r="C87" s="5" t="s">
        <v>18</v>
      </c>
      <c r="D87" s="4">
        <f t="shared" si="12"/>
        <v>0</v>
      </c>
      <c r="E87" s="34" t="str">
        <f>DBCS('入力シート（2事業場以降）'!Z47)</f>
        <v/>
      </c>
      <c r="F87" s="4"/>
      <c r="G87" s="12" t="str">
        <f>IF($D87=1,TRIM(CLEAN('入力シート（2事業場以降）'!Z47)),"")&amp;""</f>
        <v/>
      </c>
      <c r="W87" s="41" t="str">
        <f t="shared" si="13"/>
        <v>OK</v>
      </c>
    </row>
    <row r="88" spans="2:28" x14ac:dyDescent="0.2">
      <c r="B88" s="5">
        <v>15</v>
      </c>
      <c r="C88" s="5" t="s">
        <v>23</v>
      </c>
      <c r="D88" s="4">
        <f t="shared" si="12"/>
        <v>0</v>
      </c>
      <c r="E88" s="34" t="str">
        <f>DBCS('入力シート（2事業場以降）'!F49)</f>
        <v/>
      </c>
      <c r="F88" s="4" t="str">
        <f>SUBSTITUTE(SUBSTITUTE(SUBSTITUTE(SUBSTITUTE(E88,"　株式会社","株式会社"),"会社　","会社"),"　有限会社","有限会社"),"　合同会社","合同会社")</f>
        <v/>
      </c>
      <c r="G88" s="13" t="str">
        <f>IF($D88=1,TRIM(CLEAN(F88)),"")&amp;""</f>
        <v/>
      </c>
      <c r="W88" s="41" t="str">
        <f t="shared" si="13"/>
        <v>OK</v>
      </c>
      <c r="X88" t="str">
        <f t="shared" ref="X88:X92" ca="1" si="20">IF(Y88=0,IF(Z88&lt;&gt;0,OFFSET(AA88,0,Z88),$V$1),AA88)</f>
        <v>事業場名を入力してください。</v>
      </c>
      <c r="Y88">
        <f>IF(G88&lt;&gt;"",0,1)</f>
        <v>1</v>
      </c>
      <c r="AA88" t="str">
        <f>C88&amp;"を入力してください。"</f>
        <v>事業場名を入力してください。</v>
      </c>
    </row>
    <row r="89" spans="2:28" x14ac:dyDescent="0.2">
      <c r="B89" s="5">
        <v>15</v>
      </c>
      <c r="C89" s="5" t="s">
        <v>8</v>
      </c>
      <c r="D89" s="4">
        <f t="shared" si="12"/>
        <v>0</v>
      </c>
      <c r="E89" s="4"/>
      <c r="F89" s="4"/>
      <c r="G89" s="12" t="str">
        <f>IF($D89=1,TRIM(CLEAN(ASC('入力シート（2事業場以降）'!L49))),"")&amp;""</f>
        <v/>
      </c>
      <c r="H89" s="12" t="str">
        <f>IF($D89=1,TRIM(CLEAN(ASC('入力シート（2事業場以降）'!N49))),"")&amp;""</f>
        <v/>
      </c>
      <c r="W89" s="41" t="str">
        <f t="shared" si="13"/>
        <v>OK</v>
      </c>
      <c r="X89" t="str">
        <f t="shared" ca="1" si="20"/>
        <v>郵便番号を入力してください。</v>
      </c>
      <c r="Y89">
        <f>IF(AND(LEN(G89)=3,LEN(H89)=4)=TRUE,0,1)</f>
        <v>1</v>
      </c>
      <c r="Z89">
        <f>IFERROR(IF(0&lt;VALUE(G89),0,1),1)</f>
        <v>1</v>
      </c>
      <c r="AA89" t="str">
        <f>C89&amp;"を入力してください。"</f>
        <v>郵便番号を入力してください。</v>
      </c>
      <c r="AB89" t="str">
        <f>"正しい"&amp;C89&amp;"を入力してください。"</f>
        <v>正しい郵便番号を入力してください。</v>
      </c>
    </row>
    <row r="90" spans="2:28" x14ac:dyDescent="0.2">
      <c r="B90" s="5">
        <v>15</v>
      </c>
      <c r="C90" s="5" t="s">
        <v>10</v>
      </c>
      <c r="D90" s="4">
        <f t="shared" si="12"/>
        <v>0</v>
      </c>
      <c r="E90" s="4"/>
      <c r="F90" s="4"/>
      <c r="G90" s="12" t="str">
        <f>IF($D90=1,TRIM(CLEAN('入力シート（2事業場以降）'!P49)),"")&amp;""</f>
        <v/>
      </c>
      <c r="W90" s="41" t="str">
        <f t="shared" si="13"/>
        <v>OK</v>
      </c>
      <c r="X90" t="str">
        <f t="shared" ca="1" si="20"/>
        <v>都道府県を選択してください。</v>
      </c>
      <c r="Y90">
        <f>IF(G90&lt;&gt;"",0,1)</f>
        <v>1</v>
      </c>
      <c r="AA90" t="str">
        <f>C90&amp;"を選択してください。"</f>
        <v>都道府県を選択してください。</v>
      </c>
    </row>
    <row r="91" spans="2:28" x14ac:dyDescent="0.2">
      <c r="B91" s="5">
        <v>15</v>
      </c>
      <c r="C91" s="5" t="s">
        <v>13</v>
      </c>
      <c r="D91" s="4">
        <f t="shared" si="12"/>
        <v>0</v>
      </c>
      <c r="E91" s="34" t="str">
        <f>DBCS('入力シート（2事業場以降）'!R49)</f>
        <v/>
      </c>
      <c r="F91" s="4"/>
      <c r="G91" s="12" t="str">
        <f>IF($D91=1,TRIM(CLEAN('入力シート（2事業場以降）'!R49)),"")&amp;""</f>
        <v/>
      </c>
      <c r="W91" s="41" t="str">
        <f t="shared" si="13"/>
        <v>OK</v>
      </c>
      <c r="X91" t="str">
        <f t="shared" ca="1" si="20"/>
        <v>市区町村を入力してください。</v>
      </c>
      <c r="Y91">
        <f>IF(G91&lt;&gt;"",0,1)</f>
        <v>1</v>
      </c>
      <c r="AA91" t="str">
        <f>C91&amp;"を入力してください。"</f>
        <v>市区町村を入力してください。</v>
      </c>
    </row>
    <row r="92" spans="2:28" x14ac:dyDescent="0.2">
      <c r="B92" s="5">
        <v>15</v>
      </c>
      <c r="C92" s="5" t="s">
        <v>15</v>
      </c>
      <c r="D92" s="4">
        <f t="shared" si="12"/>
        <v>0</v>
      </c>
      <c r="E92" s="34" t="str">
        <f>DBCS('入力シート（2事業場以降）'!V49)</f>
        <v/>
      </c>
      <c r="F92" s="4"/>
      <c r="G92" s="12" t="str">
        <f>IF($D92=1,TRIM(CLEAN('入力シート（2事業場以降）'!V49)),"")&amp;""</f>
        <v/>
      </c>
      <c r="W92" s="41" t="str">
        <f t="shared" si="13"/>
        <v>OK</v>
      </c>
      <c r="X92" t="str">
        <f t="shared" ca="1" si="20"/>
        <v>町名地番を入力してください。</v>
      </c>
      <c r="Y92">
        <f>IF(G92&lt;&gt;"",0,1)</f>
        <v>1</v>
      </c>
      <c r="AA92" t="str">
        <f>C92&amp;"を入力してください。"</f>
        <v>町名地番を入力してください。</v>
      </c>
    </row>
    <row r="93" spans="2:28" x14ac:dyDescent="0.2">
      <c r="B93" s="5">
        <v>15</v>
      </c>
      <c r="C93" s="5" t="s">
        <v>18</v>
      </c>
      <c r="D93" s="4">
        <f t="shared" si="12"/>
        <v>0</v>
      </c>
      <c r="E93" s="34" t="str">
        <f>DBCS('入力シート（2事業場以降）'!Z49)</f>
        <v/>
      </c>
      <c r="F93" s="4"/>
      <c r="G93" s="12" t="str">
        <f>IF($D93=1,TRIM(CLEAN('入力シート（2事業場以降）'!Z49)),"")&amp;""</f>
        <v/>
      </c>
      <c r="W93" s="41" t="str">
        <f t="shared" si="13"/>
        <v>OK</v>
      </c>
    </row>
    <row r="94" spans="2:28" x14ac:dyDescent="0.2">
      <c r="B94" s="5">
        <v>16</v>
      </c>
      <c r="C94" s="5" t="s">
        <v>23</v>
      </c>
      <c r="D94" s="4">
        <f t="shared" ref="D94:D136" si="21">IF(AND(B94&lt;=$G$3),1,0)</f>
        <v>0</v>
      </c>
      <c r="E94" s="34" t="str">
        <f>DBCS('入力シート（2事業場以降）'!F51)</f>
        <v/>
      </c>
      <c r="F94" s="4" t="str">
        <f>SUBSTITUTE(SUBSTITUTE(SUBSTITUTE(SUBSTITUTE(E94,"　株式会社","株式会社"),"会社　","会社"),"　有限会社","有限会社"),"　合同会社","合同会社")</f>
        <v/>
      </c>
      <c r="G94" s="13" t="str">
        <f>IF($D94=1,TRIM(CLEAN(F94)),"")&amp;""</f>
        <v/>
      </c>
      <c r="W94" s="41" t="str">
        <f t="shared" ref="W94:W136" si="22">IF(B94&lt;=$G$3,IF(X94="OK",X94,"NG"),"OK")</f>
        <v>OK</v>
      </c>
      <c r="X94" t="str">
        <f t="shared" ref="X94:X98" ca="1" si="23">IF(Y94=0,IF(Z94&lt;&gt;0,OFFSET(AA94,0,Z94),$V$1),AA94)</f>
        <v>事業場名を入力してください。</v>
      </c>
      <c r="Y94">
        <f>IF(G94&lt;&gt;"",0,1)</f>
        <v>1</v>
      </c>
      <c r="AA94" t="str">
        <f>C94&amp;"を入力してください。"</f>
        <v>事業場名を入力してください。</v>
      </c>
    </row>
    <row r="95" spans="2:28" x14ac:dyDescent="0.2">
      <c r="B95" s="5">
        <v>16</v>
      </c>
      <c r="C95" s="5" t="s">
        <v>8</v>
      </c>
      <c r="D95" s="4">
        <f t="shared" si="21"/>
        <v>0</v>
      </c>
      <c r="E95" s="4"/>
      <c r="F95" s="4"/>
      <c r="G95" s="12" t="str">
        <f>IF($D95=1,TRIM(CLEAN(ASC('入力シート（2事業場以降）'!L51))),"")&amp;""</f>
        <v/>
      </c>
      <c r="H95" s="12" t="str">
        <f>IF($D95=1,TRIM(CLEAN(ASC('入力シート（2事業場以降）'!N51))),"")&amp;""</f>
        <v/>
      </c>
      <c r="W95" s="41" t="str">
        <f t="shared" si="22"/>
        <v>OK</v>
      </c>
      <c r="X95" t="str">
        <f t="shared" ca="1" si="23"/>
        <v>郵便番号を入力してください。</v>
      </c>
      <c r="Y95">
        <f>IF(AND(LEN(G95)=3,LEN(H95)=4)=TRUE,0,1)</f>
        <v>1</v>
      </c>
      <c r="Z95">
        <f>IFERROR(IF(0&lt;VALUE(G95),0,1),1)</f>
        <v>1</v>
      </c>
      <c r="AA95" t="str">
        <f>C95&amp;"を入力してください。"</f>
        <v>郵便番号を入力してください。</v>
      </c>
      <c r="AB95" t="str">
        <f>"正しい"&amp;C95&amp;"を入力してください。"</f>
        <v>正しい郵便番号を入力してください。</v>
      </c>
    </row>
    <row r="96" spans="2:28" x14ac:dyDescent="0.2">
      <c r="B96" s="5">
        <v>16</v>
      </c>
      <c r="C96" s="5" t="s">
        <v>10</v>
      </c>
      <c r="D96" s="4">
        <f t="shared" si="21"/>
        <v>0</v>
      </c>
      <c r="E96" s="4"/>
      <c r="F96" s="4"/>
      <c r="G96" s="12" t="str">
        <f>IF($D96=1,TRIM(CLEAN('入力シート（2事業場以降）'!P51)),"")&amp;""</f>
        <v/>
      </c>
      <c r="W96" s="41" t="str">
        <f t="shared" si="22"/>
        <v>OK</v>
      </c>
      <c r="X96" t="str">
        <f t="shared" ca="1" si="23"/>
        <v>都道府県を選択してください。</v>
      </c>
      <c r="Y96">
        <f>IF(G96&lt;&gt;"",0,1)</f>
        <v>1</v>
      </c>
      <c r="AA96" t="str">
        <f>C96&amp;"を選択してください。"</f>
        <v>都道府県を選択してください。</v>
      </c>
    </row>
    <row r="97" spans="2:28" x14ac:dyDescent="0.2">
      <c r="B97" s="5">
        <v>16</v>
      </c>
      <c r="C97" s="5" t="s">
        <v>13</v>
      </c>
      <c r="D97" s="4">
        <f t="shared" si="21"/>
        <v>0</v>
      </c>
      <c r="E97" s="34" t="str">
        <f>DBCS('入力シート（2事業場以降）'!R51)</f>
        <v/>
      </c>
      <c r="F97" s="4"/>
      <c r="G97" s="12" t="str">
        <f>IF($D97=1,TRIM(CLEAN('入力シート（2事業場以降）'!R51)),"")&amp;""</f>
        <v/>
      </c>
      <c r="W97" s="41" t="str">
        <f t="shared" si="22"/>
        <v>OK</v>
      </c>
      <c r="X97" t="str">
        <f t="shared" ca="1" si="23"/>
        <v>市区町村を入力してください。</v>
      </c>
      <c r="Y97">
        <f>IF(G97&lt;&gt;"",0,1)</f>
        <v>1</v>
      </c>
      <c r="AA97" t="str">
        <f>C97&amp;"を入力してください。"</f>
        <v>市区町村を入力してください。</v>
      </c>
    </row>
    <row r="98" spans="2:28" x14ac:dyDescent="0.2">
      <c r="B98" s="5">
        <v>16</v>
      </c>
      <c r="C98" s="5" t="s">
        <v>15</v>
      </c>
      <c r="D98" s="4">
        <f t="shared" si="21"/>
        <v>0</v>
      </c>
      <c r="E98" s="34" t="str">
        <f>DBCS('入力シート（2事業場以降）'!V51)</f>
        <v/>
      </c>
      <c r="F98" s="4"/>
      <c r="G98" s="12" t="str">
        <f>IF($D98=1,TRIM(CLEAN('入力シート（2事業場以降）'!V51)),"")&amp;""</f>
        <v/>
      </c>
      <c r="W98" s="41" t="str">
        <f t="shared" si="22"/>
        <v>OK</v>
      </c>
      <c r="X98" t="str">
        <f t="shared" ca="1" si="23"/>
        <v>町名地番を入力してください。</v>
      </c>
      <c r="Y98">
        <f>IF(G98&lt;&gt;"",0,1)</f>
        <v>1</v>
      </c>
      <c r="AA98" t="str">
        <f>C98&amp;"を入力してください。"</f>
        <v>町名地番を入力してください。</v>
      </c>
    </row>
    <row r="99" spans="2:28" x14ac:dyDescent="0.2">
      <c r="B99" s="5">
        <v>16</v>
      </c>
      <c r="C99" s="5" t="s">
        <v>18</v>
      </c>
      <c r="D99" s="4">
        <f t="shared" si="21"/>
        <v>0</v>
      </c>
      <c r="E99" s="34" t="str">
        <f>DBCS('入力シート（2事業場以降）'!Z51)</f>
        <v/>
      </c>
      <c r="F99" s="4"/>
      <c r="G99" s="12" t="str">
        <f>IF($D99=1,TRIM(CLEAN('入力シート（2事業場以降）'!Z51)),"")&amp;""</f>
        <v/>
      </c>
      <c r="W99" s="41" t="str">
        <f t="shared" si="22"/>
        <v>OK</v>
      </c>
    </row>
    <row r="100" spans="2:28" x14ac:dyDescent="0.2">
      <c r="B100" s="5">
        <v>17</v>
      </c>
      <c r="C100" s="5" t="s">
        <v>23</v>
      </c>
      <c r="D100" s="4">
        <f t="shared" si="21"/>
        <v>0</v>
      </c>
      <c r="E100" s="34" t="str">
        <f>DBCS('入力シート（2事業場以降）'!F53)</f>
        <v/>
      </c>
      <c r="F100" s="4" t="str">
        <f>SUBSTITUTE(SUBSTITUTE(SUBSTITUTE(SUBSTITUTE(E100,"　株式会社","株式会社"),"会社　","会社"),"　有限会社","有限会社"),"　合同会社","合同会社")</f>
        <v/>
      </c>
      <c r="G100" s="13" t="str">
        <f>IF($D100=1,TRIM(CLEAN(F100)),"")&amp;""</f>
        <v/>
      </c>
      <c r="W100" s="41" t="str">
        <f t="shared" si="22"/>
        <v>OK</v>
      </c>
      <c r="X100" t="str">
        <f t="shared" ref="X100:X104" ca="1" si="24">IF(Y100=0,IF(Z100&lt;&gt;0,OFFSET(AA100,0,Z100),$V$1),AA100)</f>
        <v>事業場名を入力してください。</v>
      </c>
      <c r="Y100">
        <f>IF(G100&lt;&gt;"",0,1)</f>
        <v>1</v>
      </c>
      <c r="AA100" t="str">
        <f>C100&amp;"を入力してください。"</f>
        <v>事業場名を入力してください。</v>
      </c>
    </row>
    <row r="101" spans="2:28" x14ac:dyDescent="0.2">
      <c r="B101" s="5">
        <v>17</v>
      </c>
      <c r="C101" s="5" t="s">
        <v>8</v>
      </c>
      <c r="D101" s="4">
        <f t="shared" si="21"/>
        <v>0</v>
      </c>
      <c r="E101" s="4"/>
      <c r="F101" s="4"/>
      <c r="G101" s="12" t="str">
        <f>IF($D101=1,TRIM(CLEAN(ASC('入力シート（2事業場以降）'!L53))),"")&amp;""</f>
        <v/>
      </c>
      <c r="H101" s="12" t="str">
        <f>IF($D101=1,TRIM(CLEAN(ASC('入力シート（2事業場以降）'!N53))),"")&amp;""</f>
        <v/>
      </c>
      <c r="W101" s="41" t="str">
        <f t="shared" si="22"/>
        <v>OK</v>
      </c>
      <c r="X101" t="str">
        <f t="shared" ca="1" si="24"/>
        <v>郵便番号を入力してください。</v>
      </c>
      <c r="Y101">
        <f>IF(AND(LEN(G101)=3,LEN(H101)=4)=TRUE,0,1)</f>
        <v>1</v>
      </c>
      <c r="Z101">
        <f>IFERROR(IF(0&lt;VALUE(G101),0,1),1)</f>
        <v>1</v>
      </c>
      <c r="AA101" t="str">
        <f>C101&amp;"を入力してください。"</f>
        <v>郵便番号を入力してください。</v>
      </c>
      <c r="AB101" t="str">
        <f>"正しい"&amp;C101&amp;"を入力してください。"</f>
        <v>正しい郵便番号を入力してください。</v>
      </c>
    </row>
    <row r="102" spans="2:28" x14ac:dyDescent="0.2">
      <c r="B102" s="5">
        <v>17</v>
      </c>
      <c r="C102" s="5" t="s">
        <v>10</v>
      </c>
      <c r="D102" s="4">
        <f t="shared" si="21"/>
        <v>0</v>
      </c>
      <c r="E102" s="4"/>
      <c r="F102" s="4"/>
      <c r="G102" s="12" t="str">
        <f>IF($D102=1,TRIM(CLEAN('入力シート（2事業場以降）'!P53)),"")&amp;""</f>
        <v/>
      </c>
      <c r="W102" s="41" t="str">
        <f t="shared" si="22"/>
        <v>OK</v>
      </c>
      <c r="X102" t="str">
        <f t="shared" ca="1" si="24"/>
        <v>都道府県を選択してください。</v>
      </c>
      <c r="Y102">
        <f>IF(G102&lt;&gt;"",0,1)</f>
        <v>1</v>
      </c>
      <c r="AA102" t="str">
        <f>C102&amp;"を選択してください。"</f>
        <v>都道府県を選択してください。</v>
      </c>
    </row>
    <row r="103" spans="2:28" x14ac:dyDescent="0.2">
      <c r="B103" s="5">
        <v>17</v>
      </c>
      <c r="C103" s="5" t="s">
        <v>13</v>
      </c>
      <c r="D103" s="4">
        <f t="shared" si="21"/>
        <v>0</v>
      </c>
      <c r="E103" s="34" t="str">
        <f>DBCS('入力シート（2事業場以降）'!R53)</f>
        <v/>
      </c>
      <c r="F103" s="4"/>
      <c r="G103" s="12" t="str">
        <f>IF($D103=1,TRIM(CLEAN('入力シート（2事業場以降）'!R53)),"")&amp;""</f>
        <v/>
      </c>
      <c r="W103" s="41" t="str">
        <f t="shared" si="22"/>
        <v>OK</v>
      </c>
      <c r="X103" t="str">
        <f t="shared" ca="1" si="24"/>
        <v>市区町村を入力してください。</v>
      </c>
      <c r="Y103">
        <f>IF(G103&lt;&gt;"",0,1)</f>
        <v>1</v>
      </c>
      <c r="AA103" t="str">
        <f>C103&amp;"を入力してください。"</f>
        <v>市区町村を入力してください。</v>
      </c>
    </row>
    <row r="104" spans="2:28" x14ac:dyDescent="0.2">
      <c r="B104" s="5">
        <v>17</v>
      </c>
      <c r="C104" s="5" t="s">
        <v>15</v>
      </c>
      <c r="D104" s="4">
        <f t="shared" si="21"/>
        <v>0</v>
      </c>
      <c r="E104" s="34" t="str">
        <f>DBCS('入力シート（2事業場以降）'!V53)</f>
        <v/>
      </c>
      <c r="F104" s="4"/>
      <c r="G104" s="12" t="str">
        <f>IF($D104=1,TRIM(CLEAN('入力シート（2事業場以降）'!V53)),"")&amp;""</f>
        <v/>
      </c>
      <c r="W104" s="41" t="str">
        <f t="shared" si="22"/>
        <v>OK</v>
      </c>
      <c r="X104" t="str">
        <f t="shared" ca="1" si="24"/>
        <v>町名地番を入力してください。</v>
      </c>
      <c r="Y104">
        <f>IF(G104&lt;&gt;"",0,1)</f>
        <v>1</v>
      </c>
      <c r="AA104" t="str">
        <f>C104&amp;"を入力してください。"</f>
        <v>町名地番を入力してください。</v>
      </c>
    </row>
    <row r="105" spans="2:28" x14ac:dyDescent="0.2">
      <c r="B105" s="5">
        <v>17</v>
      </c>
      <c r="C105" s="5" t="s">
        <v>18</v>
      </c>
      <c r="D105" s="4">
        <f t="shared" si="21"/>
        <v>0</v>
      </c>
      <c r="E105" s="34" t="str">
        <f>DBCS('入力シート（2事業場以降）'!Z53)</f>
        <v/>
      </c>
      <c r="F105" s="4"/>
      <c r="G105" s="12" t="str">
        <f>IF($D105=1,TRIM(CLEAN('入力シート（2事業場以降）'!Z53)),"")&amp;""</f>
        <v/>
      </c>
      <c r="W105" s="41" t="str">
        <f t="shared" si="22"/>
        <v>OK</v>
      </c>
    </row>
    <row r="106" spans="2:28" x14ac:dyDescent="0.2">
      <c r="B106" s="5">
        <v>18</v>
      </c>
      <c r="C106" s="5" t="s">
        <v>23</v>
      </c>
      <c r="D106" s="4">
        <f t="shared" si="21"/>
        <v>0</v>
      </c>
      <c r="E106" s="34" t="str">
        <f>DBCS('入力シート（2事業場以降）'!F55)</f>
        <v/>
      </c>
      <c r="F106" s="4" t="str">
        <f>SUBSTITUTE(SUBSTITUTE(SUBSTITUTE(SUBSTITUTE(E106,"　株式会社","株式会社"),"会社　","会社"),"　有限会社","有限会社"),"　合同会社","合同会社")</f>
        <v/>
      </c>
      <c r="G106" s="13" t="str">
        <f>IF($D106=1,TRIM(CLEAN(F106)),"")&amp;""</f>
        <v/>
      </c>
      <c r="W106" s="41" t="str">
        <f t="shared" si="22"/>
        <v>OK</v>
      </c>
      <c r="X106" t="str">
        <f t="shared" ref="X106:X110" ca="1" si="25">IF(Y106=0,IF(Z106&lt;&gt;0,OFFSET(AA106,0,Z106),$V$1),AA106)</f>
        <v>事業場名を入力してください。</v>
      </c>
      <c r="Y106">
        <f>IF(G106&lt;&gt;"",0,1)</f>
        <v>1</v>
      </c>
      <c r="AA106" t="str">
        <f>C106&amp;"を入力してください。"</f>
        <v>事業場名を入力してください。</v>
      </c>
    </row>
    <row r="107" spans="2:28" x14ac:dyDescent="0.2">
      <c r="B107" s="5">
        <v>18</v>
      </c>
      <c r="C107" s="5" t="s">
        <v>8</v>
      </c>
      <c r="D107" s="4">
        <f t="shared" si="21"/>
        <v>0</v>
      </c>
      <c r="E107" s="4"/>
      <c r="F107" s="4"/>
      <c r="G107" s="12" t="str">
        <f>IF($D107=1,TRIM(CLEAN(ASC('入力シート（2事業場以降）'!L55))),"")&amp;""</f>
        <v/>
      </c>
      <c r="H107" s="12" t="str">
        <f>IF($D107=1,TRIM(CLEAN(ASC('入力シート（2事業場以降）'!N55))),"")&amp;""</f>
        <v/>
      </c>
      <c r="W107" s="41" t="str">
        <f t="shared" si="22"/>
        <v>OK</v>
      </c>
      <c r="X107" t="str">
        <f t="shared" ca="1" si="25"/>
        <v>郵便番号を入力してください。</v>
      </c>
      <c r="Y107">
        <f>IF(AND(LEN(G107)=3,LEN(H107)=4)=TRUE,0,1)</f>
        <v>1</v>
      </c>
      <c r="Z107">
        <f>IFERROR(IF(0&lt;VALUE(G107),0,1),1)</f>
        <v>1</v>
      </c>
      <c r="AA107" t="str">
        <f>C107&amp;"を入力してください。"</f>
        <v>郵便番号を入力してください。</v>
      </c>
      <c r="AB107" t="str">
        <f>"正しい"&amp;C107&amp;"を入力してください。"</f>
        <v>正しい郵便番号を入力してください。</v>
      </c>
    </row>
    <row r="108" spans="2:28" x14ac:dyDescent="0.2">
      <c r="B108" s="5">
        <v>18</v>
      </c>
      <c r="C108" s="5" t="s">
        <v>10</v>
      </c>
      <c r="D108" s="4">
        <f t="shared" si="21"/>
        <v>0</v>
      </c>
      <c r="E108" s="4"/>
      <c r="F108" s="4"/>
      <c r="G108" s="12" t="str">
        <f>IF($D108=1,TRIM(CLEAN('入力シート（2事業場以降）'!P55)),"")&amp;""</f>
        <v/>
      </c>
      <c r="W108" s="41" t="str">
        <f t="shared" si="22"/>
        <v>OK</v>
      </c>
      <c r="X108" t="str">
        <f t="shared" ca="1" si="25"/>
        <v>都道府県を選択してください。</v>
      </c>
      <c r="Y108">
        <f>IF(G108&lt;&gt;"",0,1)</f>
        <v>1</v>
      </c>
      <c r="AA108" t="str">
        <f>C108&amp;"を選択してください。"</f>
        <v>都道府県を選択してください。</v>
      </c>
    </row>
    <row r="109" spans="2:28" x14ac:dyDescent="0.2">
      <c r="B109" s="5">
        <v>18</v>
      </c>
      <c r="C109" s="5" t="s">
        <v>13</v>
      </c>
      <c r="D109" s="4">
        <f t="shared" si="21"/>
        <v>0</v>
      </c>
      <c r="E109" s="34" t="str">
        <f>DBCS('入力シート（2事業場以降）'!R55)</f>
        <v/>
      </c>
      <c r="F109" s="4"/>
      <c r="G109" s="12" t="str">
        <f>IF($D109=1,TRIM(CLEAN('入力シート（2事業場以降）'!R55)),"")&amp;""</f>
        <v/>
      </c>
      <c r="W109" s="41" t="str">
        <f t="shared" si="22"/>
        <v>OK</v>
      </c>
      <c r="X109" t="str">
        <f t="shared" ca="1" si="25"/>
        <v>市区町村を入力してください。</v>
      </c>
      <c r="Y109">
        <f>IF(G109&lt;&gt;"",0,1)</f>
        <v>1</v>
      </c>
      <c r="AA109" t="str">
        <f>C109&amp;"を入力してください。"</f>
        <v>市区町村を入力してください。</v>
      </c>
    </row>
    <row r="110" spans="2:28" x14ac:dyDescent="0.2">
      <c r="B110" s="5">
        <v>18</v>
      </c>
      <c r="C110" s="5" t="s">
        <v>15</v>
      </c>
      <c r="D110" s="4">
        <f t="shared" si="21"/>
        <v>0</v>
      </c>
      <c r="E110" s="34" t="str">
        <f>DBCS('入力シート（2事業場以降）'!V55)</f>
        <v/>
      </c>
      <c r="F110" s="4"/>
      <c r="G110" s="12" t="str">
        <f>IF($D110=1,TRIM(CLEAN('入力シート（2事業場以降）'!V55)),"")&amp;""</f>
        <v/>
      </c>
      <c r="W110" s="41" t="str">
        <f t="shared" si="22"/>
        <v>OK</v>
      </c>
      <c r="X110" t="str">
        <f t="shared" ca="1" si="25"/>
        <v>町名地番を入力してください。</v>
      </c>
      <c r="Y110">
        <f>IF(G110&lt;&gt;"",0,1)</f>
        <v>1</v>
      </c>
      <c r="AA110" t="str">
        <f>C110&amp;"を入力してください。"</f>
        <v>町名地番を入力してください。</v>
      </c>
    </row>
    <row r="111" spans="2:28" x14ac:dyDescent="0.2">
      <c r="B111" s="5">
        <v>18</v>
      </c>
      <c r="C111" s="5" t="s">
        <v>18</v>
      </c>
      <c r="D111" s="4">
        <f t="shared" si="21"/>
        <v>0</v>
      </c>
      <c r="E111" s="34" t="str">
        <f>DBCS('入力シート（2事業場以降）'!Z55)</f>
        <v/>
      </c>
      <c r="F111" s="4"/>
      <c r="G111" s="12" t="str">
        <f>IF($D111=1,TRIM(CLEAN('入力シート（2事業場以降）'!Z55)),"")&amp;""</f>
        <v/>
      </c>
      <c r="W111" s="41" t="str">
        <f t="shared" si="22"/>
        <v>OK</v>
      </c>
    </row>
    <row r="112" spans="2:28" x14ac:dyDescent="0.2">
      <c r="B112" s="5">
        <v>19</v>
      </c>
      <c r="C112" s="5" t="s">
        <v>23</v>
      </c>
      <c r="D112" s="4">
        <f t="shared" si="21"/>
        <v>0</v>
      </c>
      <c r="E112" s="34" t="str">
        <f>DBCS('入力シート（2事業場以降）'!F57)</f>
        <v/>
      </c>
      <c r="F112" s="4" t="str">
        <f>SUBSTITUTE(SUBSTITUTE(SUBSTITUTE(SUBSTITUTE(E112,"　株式会社","株式会社"),"会社　","会社"),"　有限会社","有限会社"),"　合同会社","合同会社")</f>
        <v/>
      </c>
      <c r="G112" s="13" t="str">
        <f>IF($D112=1,TRIM(CLEAN(F112)),"")&amp;""</f>
        <v/>
      </c>
      <c r="W112" s="41" t="str">
        <f t="shared" si="22"/>
        <v>OK</v>
      </c>
      <c r="X112" t="str">
        <f t="shared" ref="X112:X116" ca="1" si="26">IF(Y112=0,IF(Z112&lt;&gt;0,OFFSET(AA112,0,Z112),$V$1),AA112)</f>
        <v>事業場名を入力してください。</v>
      </c>
      <c r="Y112">
        <f>IF(G112&lt;&gt;"",0,1)</f>
        <v>1</v>
      </c>
      <c r="AA112" t="str">
        <f>C112&amp;"を入力してください。"</f>
        <v>事業場名を入力してください。</v>
      </c>
    </row>
    <row r="113" spans="2:28" x14ac:dyDescent="0.2">
      <c r="B113" s="5">
        <v>19</v>
      </c>
      <c r="C113" s="5" t="s">
        <v>8</v>
      </c>
      <c r="D113" s="4">
        <f t="shared" si="21"/>
        <v>0</v>
      </c>
      <c r="E113" s="4"/>
      <c r="F113" s="4"/>
      <c r="G113" s="12" t="str">
        <f>IF($D113=1,TRIM(CLEAN(ASC('入力シート（2事業場以降）'!L57))),"")&amp;""</f>
        <v/>
      </c>
      <c r="H113" s="12" t="str">
        <f>IF($D113=1,TRIM(CLEAN(ASC('入力シート（2事業場以降）'!N57))),"")&amp;""</f>
        <v/>
      </c>
      <c r="W113" s="41" t="str">
        <f t="shared" si="22"/>
        <v>OK</v>
      </c>
      <c r="X113" t="str">
        <f t="shared" ca="1" si="26"/>
        <v>郵便番号を入力してください。</v>
      </c>
      <c r="Y113">
        <f>IF(AND(LEN(G113)=3,LEN(H113)=4)=TRUE,0,1)</f>
        <v>1</v>
      </c>
      <c r="Z113">
        <f>IFERROR(IF(0&lt;VALUE(G113),0,1),1)</f>
        <v>1</v>
      </c>
      <c r="AA113" t="str">
        <f>C113&amp;"を入力してください。"</f>
        <v>郵便番号を入力してください。</v>
      </c>
      <c r="AB113" t="str">
        <f>"正しい"&amp;C113&amp;"を入力してください。"</f>
        <v>正しい郵便番号を入力してください。</v>
      </c>
    </row>
    <row r="114" spans="2:28" x14ac:dyDescent="0.2">
      <c r="B114" s="5">
        <v>19</v>
      </c>
      <c r="C114" s="5" t="s">
        <v>10</v>
      </c>
      <c r="D114" s="4">
        <f t="shared" si="21"/>
        <v>0</v>
      </c>
      <c r="E114" s="4"/>
      <c r="F114" s="4"/>
      <c r="G114" s="12" t="str">
        <f>IF($D114=1,TRIM(CLEAN('入力シート（2事業場以降）'!P57)),"")&amp;""</f>
        <v/>
      </c>
      <c r="W114" s="41" t="str">
        <f t="shared" si="22"/>
        <v>OK</v>
      </c>
      <c r="X114" t="str">
        <f t="shared" ca="1" si="26"/>
        <v>都道府県を選択してください。</v>
      </c>
      <c r="Y114">
        <f>IF(G114&lt;&gt;"",0,1)</f>
        <v>1</v>
      </c>
      <c r="AA114" t="str">
        <f>C114&amp;"を選択してください。"</f>
        <v>都道府県を選択してください。</v>
      </c>
    </row>
    <row r="115" spans="2:28" x14ac:dyDescent="0.2">
      <c r="B115" s="5">
        <v>19</v>
      </c>
      <c r="C115" s="5" t="s">
        <v>13</v>
      </c>
      <c r="D115" s="4">
        <f t="shared" si="21"/>
        <v>0</v>
      </c>
      <c r="E115" s="34" t="str">
        <f>DBCS('入力シート（2事業場以降）'!R57)</f>
        <v/>
      </c>
      <c r="F115" s="4"/>
      <c r="G115" s="12" t="str">
        <f>IF($D115=1,TRIM(CLEAN('入力シート（2事業場以降）'!R57)),"")&amp;""</f>
        <v/>
      </c>
      <c r="W115" s="41" t="str">
        <f t="shared" si="22"/>
        <v>OK</v>
      </c>
      <c r="X115" t="str">
        <f t="shared" ca="1" si="26"/>
        <v>市区町村を入力してください。</v>
      </c>
      <c r="Y115">
        <f>IF(G115&lt;&gt;"",0,1)</f>
        <v>1</v>
      </c>
      <c r="AA115" t="str">
        <f>C115&amp;"を入力してください。"</f>
        <v>市区町村を入力してください。</v>
      </c>
    </row>
    <row r="116" spans="2:28" x14ac:dyDescent="0.2">
      <c r="B116" s="5">
        <v>19</v>
      </c>
      <c r="C116" s="5" t="s">
        <v>15</v>
      </c>
      <c r="D116" s="4">
        <f t="shared" si="21"/>
        <v>0</v>
      </c>
      <c r="E116" s="34" t="str">
        <f>DBCS('入力シート（2事業場以降）'!V57)</f>
        <v/>
      </c>
      <c r="F116" s="4"/>
      <c r="G116" s="12" t="str">
        <f>IF($D116=1,TRIM(CLEAN('入力シート（2事業場以降）'!V57)),"")&amp;""</f>
        <v/>
      </c>
      <c r="W116" s="41" t="str">
        <f t="shared" si="22"/>
        <v>OK</v>
      </c>
      <c r="X116" t="str">
        <f t="shared" ca="1" si="26"/>
        <v>町名地番を入力してください。</v>
      </c>
      <c r="Y116">
        <f>IF(G116&lt;&gt;"",0,1)</f>
        <v>1</v>
      </c>
      <c r="AA116" t="str">
        <f>C116&amp;"を入力してください。"</f>
        <v>町名地番を入力してください。</v>
      </c>
    </row>
    <row r="117" spans="2:28" x14ac:dyDescent="0.2">
      <c r="B117" s="5">
        <v>19</v>
      </c>
      <c r="C117" s="5" t="s">
        <v>18</v>
      </c>
      <c r="D117" s="4">
        <f t="shared" si="21"/>
        <v>0</v>
      </c>
      <c r="E117" s="34" t="str">
        <f>DBCS('入力シート（2事業場以降）'!Z57)</f>
        <v/>
      </c>
      <c r="F117" s="4"/>
      <c r="G117" s="12" t="str">
        <f>IF($D117=1,TRIM(CLEAN('入力シート（2事業場以降）'!Z57)),"")&amp;""</f>
        <v/>
      </c>
      <c r="W117" s="41" t="str">
        <f t="shared" si="22"/>
        <v>OK</v>
      </c>
    </row>
    <row r="118" spans="2:28" x14ac:dyDescent="0.2">
      <c r="B118" s="5">
        <v>20</v>
      </c>
      <c r="C118" s="5" t="s">
        <v>23</v>
      </c>
      <c r="D118" s="4">
        <f t="shared" si="21"/>
        <v>0</v>
      </c>
      <c r="E118" s="34" t="str">
        <f>DBCS('入力シート（2事業場以降）'!F59)</f>
        <v/>
      </c>
      <c r="F118" s="4" t="str">
        <f>SUBSTITUTE(SUBSTITUTE(SUBSTITUTE(SUBSTITUTE(E118,"　株式会社","株式会社"),"会社　","会社"),"　有限会社","有限会社"),"　合同会社","合同会社")</f>
        <v/>
      </c>
      <c r="G118" s="13" t="str">
        <f>IF($D118=1,TRIM(CLEAN(F118)),"")&amp;""</f>
        <v/>
      </c>
      <c r="W118" s="41" t="str">
        <f t="shared" si="22"/>
        <v>OK</v>
      </c>
      <c r="X118" t="str">
        <f t="shared" ref="X118:X122" ca="1" si="27">IF(Y118=0,IF(Z118&lt;&gt;0,OFFSET(AA118,0,Z118),$V$1),AA118)</f>
        <v>事業場名を入力してください。</v>
      </c>
      <c r="Y118">
        <f>IF(G118&lt;&gt;"",0,1)</f>
        <v>1</v>
      </c>
      <c r="AA118" t="str">
        <f>C118&amp;"を入力してください。"</f>
        <v>事業場名を入力してください。</v>
      </c>
    </row>
    <row r="119" spans="2:28" x14ac:dyDescent="0.2">
      <c r="B119" s="5">
        <v>20</v>
      </c>
      <c r="C119" s="5" t="s">
        <v>8</v>
      </c>
      <c r="D119" s="4">
        <f t="shared" si="21"/>
        <v>0</v>
      </c>
      <c r="E119" s="4"/>
      <c r="F119" s="4"/>
      <c r="G119" s="12" t="str">
        <f>IF($D119=1,TRIM(CLEAN(ASC('入力シート（2事業場以降）'!L59))),"")&amp;""</f>
        <v/>
      </c>
      <c r="H119" s="12" t="str">
        <f>IF($D119=1,TRIM(CLEAN(ASC('入力シート（2事業場以降）'!N59))),"")&amp;""</f>
        <v/>
      </c>
      <c r="W119" s="41" t="str">
        <f t="shared" si="22"/>
        <v>OK</v>
      </c>
      <c r="X119" t="str">
        <f t="shared" ca="1" si="27"/>
        <v>郵便番号を入力してください。</v>
      </c>
      <c r="Y119">
        <f>IF(AND(LEN(G119)=3,LEN(H119)=4)=TRUE,0,1)</f>
        <v>1</v>
      </c>
      <c r="Z119">
        <f>IFERROR(IF(0&lt;VALUE(G119),0,1),1)</f>
        <v>1</v>
      </c>
      <c r="AA119" t="str">
        <f>C119&amp;"を入力してください。"</f>
        <v>郵便番号を入力してください。</v>
      </c>
      <c r="AB119" t="str">
        <f>"正しい"&amp;C119&amp;"を入力してください。"</f>
        <v>正しい郵便番号を入力してください。</v>
      </c>
    </row>
    <row r="120" spans="2:28" x14ac:dyDescent="0.2">
      <c r="B120" s="5">
        <v>20</v>
      </c>
      <c r="C120" s="5" t="s">
        <v>10</v>
      </c>
      <c r="D120" s="4">
        <f t="shared" si="21"/>
        <v>0</v>
      </c>
      <c r="E120" s="4"/>
      <c r="F120" s="4"/>
      <c r="G120" s="12" t="str">
        <f>IF($D120=1,TRIM(CLEAN('入力シート（2事業場以降）'!P59)),"")&amp;""</f>
        <v/>
      </c>
      <c r="W120" s="41" t="str">
        <f t="shared" si="22"/>
        <v>OK</v>
      </c>
      <c r="X120" t="str">
        <f t="shared" ca="1" si="27"/>
        <v>都道府県を選択してください。</v>
      </c>
      <c r="Y120">
        <f>IF(G120&lt;&gt;"",0,1)</f>
        <v>1</v>
      </c>
      <c r="AA120" t="str">
        <f>C120&amp;"を選択してください。"</f>
        <v>都道府県を選択してください。</v>
      </c>
    </row>
    <row r="121" spans="2:28" x14ac:dyDescent="0.2">
      <c r="B121" s="5">
        <v>20</v>
      </c>
      <c r="C121" s="5" t="s">
        <v>13</v>
      </c>
      <c r="D121" s="4">
        <f t="shared" si="21"/>
        <v>0</v>
      </c>
      <c r="E121" s="34" t="str">
        <f>DBCS('入力シート（2事業場以降）'!R59)</f>
        <v/>
      </c>
      <c r="F121" s="4"/>
      <c r="G121" s="12" t="str">
        <f>IF($D121=1,TRIM(CLEAN('入力シート（2事業場以降）'!R59)),"")&amp;""</f>
        <v/>
      </c>
      <c r="W121" s="41" t="str">
        <f t="shared" si="22"/>
        <v>OK</v>
      </c>
      <c r="X121" t="str">
        <f t="shared" ca="1" si="27"/>
        <v>市区町村を入力してください。</v>
      </c>
      <c r="Y121">
        <f>IF(G121&lt;&gt;"",0,1)</f>
        <v>1</v>
      </c>
      <c r="AA121" t="str">
        <f>C121&amp;"を入力してください。"</f>
        <v>市区町村を入力してください。</v>
      </c>
    </row>
    <row r="122" spans="2:28" x14ac:dyDescent="0.2">
      <c r="B122" s="5">
        <v>20</v>
      </c>
      <c r="C122" s="5" t="s">
        <v>15</v>
      </c>
      <c r="D122" s="4">
        <f t="shared" si="21"/>
        <v>0</v>
      </c>
      <c r="E122" s="34" t="str">
        <f>DBCS('入力シート（2事業場以降）'!V59)</f>
        <v/>
      </c>
      <c r="F122" s="4"/>
      <c r="G122" s="12" t="str">
        <f>IF($D122=1,TRIM(CLEAN('入力シート（2事業場以降）'!V59)),"")&amp;""</f>
        <v/>
      </c>
      <c r="W122" s="41" t="str">
        <f t="shared" si="22"/>
        <v>OK</v>
      </c>
      <c r="X122" t="str">
        <f t="shared" ca="1" si="27"/>
        <v>町名地番を入力してください。</v>
      </c>
      <c r="Y122">
        <f>IF(G122&lt;&gt;"",0,1)</f>
        <v>1</v>
      </c>
      <c r="AA122" t="str">
        <f>C122&amp;"を入力してください。"</f>
        <v>町名地番を入力してください。</v>
      </c>
    </row>
    <row r="123" spans="2:28" x14ac:dyDescent="0.2">
      <c r="B123" s="5">
        <v>20</v>
      </c>
      <c r="C123" s="5" t="s">
        <v>18</v>
      </c>
      <c r="D123" s="4">
        <f t="shared" si="21"/>
        <v>0</v>
      </c>
      <c r="E123" s="34" t="str">
        <f>DBCS('入力シート（2事業場以降）'!Z59)</f>
        <v/>
      </c>
      <c r="F123" s="4"/>
      <c r="G123" s="12" t="str">
        <f>IF($D123=1,TRIM(CLEAN('入力シート（2事業場以降）'!Z59)),"")&amp;""</f>
        <v/>
      </c>
      <c r="W123" s="41" t="str">
        <f t="shared" si="22"/>
        <v>OK</v>
      </c>
    </row>
    <row r="124" spans="2:28" x14ac:dyDescent="0.2">
      <c r="B124" s="5">
        <v>21</v>
      </c>
      <c r="C124" s="5" t="s">
        <v>23</v>
      </c>
      <c r="D124" s="4">
        <f t="shared" si="21"/>
        <v>0</v>
      </c>
      <c r="E124" s="34" t="str">
        <f>DBCS('入力シート（2事業場以降）'!F61)</f>
        <v/>
      </c>
      <c r="F124" s="4" t="str">
        <f>SUBSTITUTE(SUBSTITUTE(SUBSTITUTE(SUBSTITUTE(E124,"　株式会社","株式会社"),"会社　","会社"),"　有限会社","有限会社"),"　合同会社","合同会社")</f>
        <v/>
      </c>
      <c r="G124" s="13" t="str">
        <f>IF($D124=1,TRIM(CLEAN(F124)),"")&amp;""</f>
        <v/>
      </c>
      <c r="W124" s="41" t="str">
        <f t="shared" si="22"/>
        <v>OK</v>
      </c>
      <c r="X124" t="str">
        <f t="shared" ref="X124:X128" ca="1" si="28">IF(Y124=0,IF(Z124&lt;&gt;0,OFFSET(AA124,0,Z124),$V$1),AA124)</f>
        <v>事業場名を入力してください。</v>
      </c>
      <c r="Y124">
        <f>IF(G124&lt;&gt;"",0,1)</f>
        <v>1</v>
      </c>
      <c r="AA124" t="str">
        <f>C124&amp;"を入力してください。"</f>
        <v>事業場名を入力してください。</v>
      </c>
    </row>
    <row r="125" spans="2:28" x14ac:dyDescent="0.2">
      <c r="B125" s="5">
        <v>21</v>
      </c>
      <c r="C125" s="5" t="s">
        <v>8</v>
      </c>
      <c r="D125" s="4">
        <f t="shared" si="21"/>
        <v>0</v>
      </c>
      <c r="E125" s="4"/>
      <c r="F125" s="4"/>
      <c r="G125" s="12" t="str">
        <f>IF($D125=1,TRIM(CLEAN(ASC('入力シート（2事業場以降）'!L61))),"")&amp;""</f>
        <v/>
      </c>
      <c r="H125" s="12" t="str">
        <f>IF($D125=1,TRIM(CLEAN(ASC('入力シート（2事業場以降）'!N61))),"")&amp;""</f>
        <v/>
      </c>
      <c r="W125" s="41" t="str">
        <f t="shared" si="22"/>
        <v>OK</v>
      </c>
      <c r="X125" t="str">
        <f t="shared" ca="1" si="28"/>
        <v>郵便番号を入力してください。</v>
      </c>
      <c r="Y125">
        <f>IF(AND(LEN(G125)=3,LEN(H125)=4)=TRUE,0,1)</f>
        <v>1</v>
      </c>
      <c r="Z125">
        <f>IFERROR(IF(0&lt;VALUE(G125),0,1),1)</f>
        <v>1</v>
      </c>
      <c r="AA125" t="str">
        <f>C125&amp;"を入力してください。"</f>
        <v>郵便番号を入力してください。</v>
      </c>
      <c r="AB125" t="str">
        <f>"正しい"&amp;C125&amp;"を入力してください。"</f>
        <v>正しい郵便番号を入力してください。</v>
      </c>
    </row>
    <row r="126" spans="2:28" x14ac:dyDescent="0.2">
      <c r="B126" s="5">
        <v>21</v>
      </c>
      <c r="C126" s="5" t="s">
        <v>10</v>
      </c>
      <c r="D126" s="4">
        <f t="shared" si="21"/>
        <v>0</v>
      </c>
      <c r="E126" s="4"/>
      <c r="F126" s="4"/>
      <c r="G126" s="12" t="str">
        <f>IF($D126=1,TRIM(CLEAN('入力シート（2事業場以降）'!P61)),"")&amp;""</f>
        <v/>
      </c>
      <c r="W126" s="41" t="str">
        <f t="shared" si="22"/>
        <v>OK</v>
      </c>
      <c r="X126" t="str">
        <f t="shared" ca="1" si="28"/>
        <v>都道府県を選択してください。</v>
      </c>
      <c r="Y126">
        <f>IF(G126&lt;&gt;"",0,1)</f>
        <v>1</v>
      </c>
      <c r="AA126" t="str">
        <f>C126&amp;"を選択してください。"</f>
        <v>都道府県を選択してください。</v>
      </c>
    </row>
    <row r="127" spans="2:28" x14ac:dyDescent="0.2">
      <c r="B127" s="5">
        <v>21</v>
      </c>
      <c r="C127" s="5" t="s">
        <v>13</v>
      </c>
      <c r="D127" s="4">
        <f t="shared" si="21"/>
        <v>0</v>
      </c>
      <c r="E127" s="34" t="str">
        <f>DBCS('入力シート（2事業場以降）'!R61)</f>
        <v/>
      </c>
      <c r="F127" s="4"/>
      <c r="G127" s="12" t="str">
        <f>IF($D127=1,TRIM(CLEAN('入力シート（2事業場以降）'!R61)),"")&amp;""</f>
        <v/>
      </c>
      <c r="W127" s="41" t="str">
        <f t="shared" si="22"/>
        <v>OK</v>
      </c>
      <c r="X127" t="str">
        <f t="shared" ca="1" si="28"/>
        <v>市区町村を入力してください。</v>
      </c>
      <c r="Y127">
        <f>IF(G127&lt;&gt;"",0,1)</f>
        <v>1</v>
      </c>
      <c r="AA127" t="str">
        <f>C127&amp;"を入力してください。"</f>
        <v>市区町村を入力してください。</v>
      </c>
    </row>
    <row r="128" spans="2:28" x14ac:dyDescent="0.2">
      <c r="B128" s="5">
        <v>21</v>
      </c>
      <c r="C128" s="5" t="s">
        <v>15</v>
      </c>
      <c r="D128" s="4">
        <f t="shared" si="21"/>
        <v>0</v>
      </c>
      <c r="E128" s="34" t="str">
        <f>DBCS('入力シート（2事業場以降）'!V61)</f>
        <v/>
      </c>
      <c r="F128" s="4"/>
      <c r="G128" s="12" t="str">
        <f>IF($D128=1,TRIM(CLEAN('入力シート（2事業場以降）'!V61)),"")&amp;""</f>
        <v/>
      </c>
      <c r="W128" s="41" t="str">
        <f t="shared" si="22"/>
        <v>OK</v>
      </c>
      <c r="X128" t="str">
        <f t="shared" ca="1" si="28"/>
        <v>町名地番を入力してください。</v>
      </c>
      <c r="Y128">
        <f>IF(G128&lt;&gt;"",0,1)</f>
        <v>1</v>
      </c>
      <c r="AA128" t="str">
        <f>C128&amp;"を入力してください。"</f>
        <v>町名地番を入力してください。</v>
      </c>
    </row>
    <row r="129" spans="2:28" x14ac:dyDescent="0.2">
      <c r="B129" s="5">
        <v>21</v>
      </c>
      <c r="C129" s="5" t="s">
        <v>18</v>
      </c>
      <c r="D129" s="4">
        <f t="shared" si="21"/>
        <v>0</v>
      </c>
      <c r="E129" s="34" t="str">
        <f>DBCS('入力シート（2事業場以降）'!Z61)</f>
        <v/>
      </c>
      <c r="F129" s="4"/>
      <c r="G129" s="12" t="str">
        <f>IF($D129=1,TRIM(CLEAN('入力シート（2事業場以降）'!Z61)),"")&amp;""</f>
        <v/>
      </c>
      <c r="W129" s="41" t="str">
        <f t="shared" si="22"/>
        <v>OK</v>
      </c>
    </row>
    <row r="130" spans="2:28" x14ac:dyDescent="0.2">
      <c r="B130" s="5">
        <v>22</v>
      </c>
      <c r="C130" s="5" t="s">
        <v>23</v>
      </c>
      <c r="D130" s="4">
        <f t="shared" si="21"/>
        <v>0</v>
      </c>
      <c r="E130" s="34" t="str">
        <f>DBCS('入力シート（2事業場以降）'!F63)</f>
        <v/>
      </c>
      <c r="F130" s="4" t="str">
        <f>SUBSTITUTE(SUBSTITUTE(SUBSTITUTE(SUBSTITUTE(E130,"　株式会社","株式会社"),"会社　","会社"),"　有限会社","有限会社"),"　合同会社","合同会社")</f>
        <v/>
      </c>
      <c r="G130" s="13" t="str">
        <f>IF($D130=1,TRIM(CLEAN(F130)),"")&amp;""</f>
        <v/>
      </c>
      <c r="W130" s="41" t="str">
        <f t="shared" si="22"/>
        <v>OK</v>
      </c>
      <c r="X130" t="str">
        <f t="shared" ref="X130:X134" ca="1" si="29">IF(Y130=0,IF(Z130&lt;&gt;0,OFFSET(AA130,0,Z130),$V$1),AA130)</f>
        <v>事業場名を入力してください。</v>
      </c>
      <c r="Y130">
        <f>IF(G130&lt;&gt;"",0,1)</f>
        <v>1</v>
      </c>
      <c r="AA130" t="str">
        <f>C130&amp;"を入力してください。"</f>
        <v>事業場名を入力してください。</v>
      </c>
    </row>
    <row r="131" spans="2:28" x14ac:dyDescent="0.2">
      <c r="B131" s="5">
        <v>22</v>
      </c>
      <c r="C131" s="5" t="s">
        <v>8</v>
      </c>
      <c r="D131" s="4">
        <f t="shared" si="21"/>
        <v>0</v>
      </c>
      <c r="E131" s="4"/>
      <c r="F131" s="4"/>
      <c r="G131" s="12" t="str">
        <f>IF($D131=1,TRIM(CLEAN(ASC('入力シート（2事業場以降）'!L63))),"")&amp;""</f>
        <v/>
      </c>
      <c r="H131" s="12" t="str">
        <f>IF($D131=1,TRIM(CLEAN(ASC('入力シート（2事業場以降）'!N63))),"")&amp;""</f>
        <v/>
      </c>
      <c r="W131" s="41" t="str">
        <f t="shared" si="22"/>
        <v>OK</v>
      </c>
      <c r="X131" t="str">
        <f t="shared" ca="1" si="29"/>
        <v>郵便番号を入力してください。</v>
      </c>
      <c r="Y131">
        <f>IF(AND(LEN(G131)=3,LEN(H131)=4)=TRUE,0,1)</f>
        <v>1</v>
      </c>
      <c r="Z131">
        <f>IFERROR(IF(0&lt;VALUE(G131),0,1),1)</f>
        <v>1</v>
      </c>
      <c r="AA131" t="str">
        <f>C131&amp;"を入力してください。"</f>
        <v>郵便番号を入力してください。</v>
      </c>
      <c r="AB131" t="str">
        <f>"正しい"&amp;C131&amp;"を入力してください。"</f>
        <v>正しい郵便番号を入力してください。</v>
      </c>
    </row>
    <row r="132" spans="2:28" x14ac:dyDescent="0.2">
      <c r="B132" s="5">
        <v>22</v>
      </c>
      <c r="C132" s="5" t="s">
        <v>10</v>
      </c>
      <c r="D132" s="4">
        <f t="shared" si="21"/>
        <v>0</v>
      </c>
      <c r="E132" s="4"/>
      <c r="F132" s="4"/>
      <c r="G132" s="12" t="str">
        <f>IF($D132=1,TRIM(CLEAN('入力シート（2事業場以降）'!P63)),"")&amp;""</f>
        <v/>
      </c>
      <c r="W132" s="41" t="str">
        <f t="shared" si="22"/>
        <v>OK</v>
      </c>
      <c r="X132" t="str">
        <f t="shared" ca="1" si="29"/>
        <v>都道府県を選択してください。</v>
      </c>
      <c r="Y132">
        <f>IF(G132&lt;&gt;"",0,1)</f>
        <v>1</v>
      </c>
      <c r="AA132" t="str">
        <f>C132&amp;"を選択してください。"</f>
        <v>都道府県を選択してください。</v>
      </c>
    </row>
    <row r="133" spans="2:28" x14ac:dyDescent="0.2">
      <c r="B133" s="5">
        <v>22</v>
      </c>
      <c r="C133" s="5" t="s">
        <v>13</v>
      </c>
      <c r="D133" s="4">
        <f t="shared" si="21"/>
        <v>0</v>
      </c>
      <c r="E133" s="34" t="str">
        <f>DBCS('入力シート（2事業場以降）'!R63)</f>
        <v/>
      </c>
      <c r="F133" s="4"/>
      <c r="G133" s="12" t="str">
        <f>IF($D133=1,TRIM(CLEAN('入力シート（2事業場以降）'!R63)),"")&amp;""</f>
        <v/>
      </c>
      <c r="W133" s="41" t="str">
        <f t="shared" si="22"/>
        <v>OK</v>
      </c>
      <c r="X133" t="str">
        <f t="shared" ca="1" si="29"/>
        <v>市区町村を入力してください。</v>
      </c>
      <c r="Y133">
        <f>IF(G133&lt;&gt;"",0,1)</f>
        <v>1</v>
      </c>
      <c r="AA133" t="str">
        <f>C133&amp;"を入力してください。"</f>
        <v>市区町村を入力してください。</v>
      </c>
    </row>
    <row r="134" spans="2:28" x14ac:dyDescent="0.2">
      <c r="B134" s="5">
        <v>22</v>
      </c>
      <c r="C134" s="5" t="s">
        <v>15</v>
      </c>
      <c r="D134" s="4">
        <f t="shared" si="21"/>
        <v>0</v>
      </c>
      <c r="E134" s="34" t="str">
        <f>DBCS('入力シート（2事業場以降）'!V63)</f>
        <v/>
      </c>
      <c r="F134" s="4"/>
      <c r="G134" s="12" t="str">
        <f>IF($D134=1,TRIM(CLEAN('入力シート（2事業場以降）'!V63)),"")&amp;""</f>
        <v/>
      </c>
      <c r="W134" s="41" t="str">
        <f t="shared" si="22"/>
        <v>OK</v>
      </c>
      <c r="X134" t="str">
        <f t="shared" ca="1" si="29"/>
        <v>町名地番を入力してください。</v>
      </c>
      <c r="Y134">
        <f>IF(G134&lt;&gt;"",0,1)</f>
        <v>1</v>
      </c>
      <c r="AA134" t="str">
        <f>C134&amp;"を入力してください。"</f>
        <v>町名地番を入力してください。</v>
      </c>
    </row>
    <row r="135" spans="2:28" x14ac:dyDescent="0.2">
      <c r="B135" s="5">
        <v>22</v>
      </c>
      <c r="C135" s="5" t="s">
        <v>18</v>
      </c>
      <c r="D135" s="4">
        <f t="shared" si="21"/>
        <v>0</v>
      </c>
      <c r="E135" s="34" t="str">
        <f>DBCS('入力シート（2事業場以降）'!Z63)</f>
        <v/>
      </c>
      <c r="F135" s="4"/>
      <c r="G135" s="12" t="str">
        <f>IF($D135=1,TRIM(CLEAN('入力シート（2事業場以降）'!Z63)),"")&amp;""</f>
        <v/>
      </c>
      <c r="W135" s="41" t="str">
        <f t="shared" si="22"/>
        <v>OK</v>
      </c>
    </row>
    <row r="136" spans="2:28" x14ac:dyDescent="0.2">
      <c r="B136" s="5">
        <v>23</v>
      </c>
      <c r="C136" s="5" t="s">
        <v>23</v>
      </c>
      <c r="D136" s="4">
        <f t="shared" si="21"/>
        <v>0</v>
      </c>
      <c r="E136" s="34" t="str">
        <f>DBCS('入力シート（2事業場以降）'!F65)</f>
        <v/>
      </c>
      <c r="F136" s="4" t="str">
        <f>SUBSTITUTE(SUBSTITUTE(SUBSTITUTE(SUBSTITUTE(E136,"　株式会社","株式会社"),"会社　","会社"),"　有限会社","有限会社"),"　合同会社","合同会社")</f>
        <v/>
      </c>
      <c r="G136" s="13" t="str">
        <f>IF($D136=1,TRIM(CLEAN(F136)),"")&amp;""</f>
        <v/>
      </c>
      <c r="W136" s="41" t="str">
        <f t="shared" si="22"/>
        <v>OK</v>
      </c>
      <c r="X136" t="str">
        <f t="shared" ref="X136:X140" ca="1" si="30">IF(Y136=0,IF(Z136&lt;&gt;0,OFFSET(AA136,0,Z136),$V$1),AA136)</f>
        <v>事業場名を入力してください。</v>
      </c>
      <c r="Y136">
        <f>IF(G136&lt;&gt;"",0,1)</f>
        <v>1</v>
      </c>
      <c r="AA136" t="str">
        <f>C136&amp;"を入力してください。"</f>
        <v>事業場名を入力してください。</v>
      </c>
    </row>
    <row r="137" spans="2:28" x14ac:dyDescent="0.2">
      <c r="B137" s="5">
        <v>23</v>
      </c>
      <c r="C137" s="5" t="s">
        <v>8</v>
      </c>
      <c r="D137" s="4">
        <f t="shared" ref="D137:D179" si="31">IF(AND(B137&lt;=$G$3),1,0)</f>
        <v>0</v>
      </c>
      <c r="E137" s="4"/>
      <c r="F137" s="4"/>
      <c r="G137" s="12" t="str">
        <f>IF($D137=1,TRIM(CLEAN(ASC('入力シート（2事業場以降）'!L65))),"")&amp;""</f>
        <v/>
      </c>
      <c r="H137" s="12" t="str">
        <f>IF($D137=1,TRIM(CLEAN(ASC('入力シート（2事業場以降）'!N65))),"")&amp;""</f>
        <v/>
      </c>
      <c r="W137" s="41" t="str">
        <f t="shared" ref="W137:W179" si="32">IF(B137&lt;=$G$3,IF(X137="OK",X137,"NG"),"OK")</f>
        <v>OK</v>
      </c>
      <c r="X137" t="str">
        <f t="shared" ca="1" si="30"/>
        <v>郵便番号を入力してください。</v>
      </c>
      <c r="Y137">
        <f>IF(AND(LEN(G137)=3,LEN(H137)=4)=TRUE,0,1)</f>
        <v>1</v>
      </c>
      <c r="Z137">
        <f>IFERROR(IF(0&lt;VALUE(G137),0,1),1)</f>
        <v>1</v>
      </c>
      <c r="AA137" t="str">
        <f>C137&amp;"を入力してください。"</f>
        <v>郵便番号を入力してください。</v>
      </c>
      <c r="AB137" t="str">
        <f>"正しい"&amp;C137&amp;"を入力してください。"</f>
        <v>正しい郵便番号を入力してください。</v>
      </c>
    </row>
    <row r="138" spans="2:28" x14ac:dyDescent="0.2">
      <c r="B138" s="5">
        <v>23</v>
      </c>
      <c r="C138" s="5" t="s">
        <v>10</v>
      </c>
      <c r="D138" s="4">
        <f t="shared" si="31"/>
        <v>0</v>
      </c>
      <c r="E138" s="4"/>
      <c r="F138" s="4"/>
      <c r="G138" s="12" t="str">
        <f>IF($D138=1,TRIM(CLEAN('入力シート（2事業場以降）'!P65)),"")&amp;""</f>
        <v/>
      </c>
      <c r="W138" s="41" t="str">
        <f t="shared" si="32"/>
        <v>OK</v>
      </c>
      <c r="X138" t="str">
        <f t="shared" ca="1" si="30"/>
        <v>都道府県を選択してください。</v>
      </c>
      <c r="Y138">
        <f>IF(G138&lt;&gt;"",0,1)</f>
        <v>1</v>
      </c>
      <c r="AA138" t="str">
        <f>C138&amp;"を選択してください。"</f>
        <v>都道府県を選択してください。</v>
      </c>
    </row>
    <row r="139" spans="2:28" x14ac:dyDescent="0.2">
      <c r="B139" s="5">
        <v>23</v>
      </c>
      <c r="C139" s="5" t="s">
        <v>13</v>
      </c>
      <c r="D139" s="4">
        <f t="shared" si="31"/>
        <v>0</v>
      </c>
      <c r="E139" s="34" t="str">
        <f>DBCS('入力シート（2事業場以降）'!R65)</f>
        <v/>
      </c>
      <c r="F139" s="4"/>
      <c r="G139" s="12" t="str">
        <f>IF($D139=1,TRIM(CLEAN('入力シート（2事業場以降）'!R65)),"")&amp;""</f>
        <v/>
      </c>
      <c r="W139" s="41" t="str">
        <f t="shared" si="32"/>
        <v>OK</v>
      </c>
      <c r="X139" t="str">
        <f t="shared" ca="1" si="30"/>
        <v>市区町村を入力してください。</v>
      </c>
      <c r="Y139">
        <f>IF(G139&lt;&gt;"",0,1)</f>
        <v>1</v>
      </c>
      <c r="AA139" t="str">
        <f>C139&amp;"を入力してください。"</f>
        <v>市区町村を入力してください。</v>
      </c>
    </row>
    <row r="140" spans="2:28" x14ac:dyDescent="0.2">
      <c r="B140" s="5">
        <v>23</v>
      </c>
      <c r="C140" s="5" t="s">
        <v>15</v>
      </c>
      <c r="D140" s="4">
        <f t="shared" si="31"/>
        <v>0</v>
      </c>
      <c r="E140" s="34" t="str">
        <f>DBCS('入力シート（2事業場以降）'!V65)</f>
        <v/>
      </c>
      <c r="F140" s="4"/>
      <c r="G140" s="12" t="str">
        <f>IF($D140=1,TRIM(CLEAN('入力シート（2事業場以降）'!V65)),"")&amp;""</f>
        <v/>
      </c>
      <c r="W140" s="41" t="str">
        <f t="shared" si="32"/>
        <v>OK</v>
      </c>
      <c r="X140" t="str">
        <f t="shared" ca="1" si="30"/>
        <v>町名地番を入力してください。</v>
      </c>
      <c r="Y140">
        <f>IF(G140&lt;&gt;"",0,1)</f>
        <v>1</v>
      </c>
      <c r="AA140" t="str">
        <f>C140&amp;"を入力してください。"</f>
        <v>町名地番を入力してください。</v>
      </c>
    </row>
    <row r="141" spans="2:28" x14ac:dyDescent="0.2">
      <c r="B141" s="5">
        <v>23</v>
      </c>
      <c r="C141" s="5" t="s">
        <v>18</v>
      </c>
      <c r="D141" s="4">
        <f t="shared" si="31"/>
        <v>0</v>
      </c>
      <c r="E141" s="34" t="str">
        <f>DBCS('入力シート（2事業場以降）'!Z65)</f>
        <v/>
      </c>
      <c r="F141" s="4"/>
      <c r="G141" s="12" t="str">
        <f>IF($D141=1,TRIM(CLEAN('入力シート（2事業場以降）'!Z65)),"")&amp;""</f>
        <v/>
      </c>
      <c r="W141" s="41" t="str">
        <f t="shared" si="32"/>
        <v>OK</v>
      </c>
    </row>
    <row r="142" spans="2:28" x14ac:dyDescent="0.2">
      <c r="B142" s="5">
        <v>24</v>
      </c>
      <c r="C142" s="5" t="s">
        <v>23</v>
      </c>
      <c r="D142" s="4">
        <f t="shared" si="31"/>
        <v>0</v>
      </c>
      <c r="E142" s="34" t="str">
        <f>DBCS('入力シート（2事業場以降）'!F67)</f>
        <v/>
      </c>
      <c r="F142" s="4" t="str">
        <f>SUBSTITUTE(SUBSTITUTE(SUBSTITUTE(SUBSTITUTE(E142,"　株式会社","株式会社"),"会社　","会社"),"　有限会社","有限会社"),"　合同会社","合同会社")</f>
        <v/>
      </c>
      <c r="G142" s="13" t="str">
        <f>IF($D142=1,TRIM(CLEAN(F142)),"")&amp;""</f>
        <v/>
      </c>
      <c r="W142" s="41" t="str">
        <f t="shared" si="32"/>
        <v>OK</v>
      </c>
      <c r="X142" t="str">
        <f t="shared" ref="X142:X146" ca="1" si="33">IF(Y142=0,IF(Z142&lt;&gt;0,OFFSET(AA142,0,Z142),$V$1),AA142)</f>
        <v>事業場名を入力してください。</v>
      </c>
      <c r="Y142">
        <f>IF(G142&lt;&gt;"",0,1)</f>
        <v>1</v>
      </c>
      <c r="AA142" t="str">
        <f>C142&amp;"を入力してください。"</f>
        <v>事業場名を入力してください。</v>
      </c>
    </row>
    <row r="143" spans="2:28" x14ac:dyDescent="0.2">
      <c r="B143" s="5">
        <v>24</v>
      </c>
      <c r="C143" s="5" t="s">
        <v>8</v>
      </c>
      <c r="D143" s="4">
        <f t="shared" si="31"/>
        <v>0</v>
      </c>
      <c r="E143" s="4"/>
      <c r="F143" s="4"/>
      <c r="G143" s="12" t="str">
        <f>IF($D143=1,TRIM(CLEAN(ASC('入力シート（2事業場以降）'!L67))),"")&amp;""</f>
        <v/>
      </c>
      <c r="H143" s="12" t="str">
        <f>IF($D143=1,TRIM(CLEAN(ASC('入力シート（2事業場以降）'!N67))),"")&amp;""</f>
        <v/>
      </c>
      <c r="W143" s="41" t="str">
        <f t="shared" si="32"/>
        <v>OK</v>
      </c>
      <c r="X143" t="str">
        <f t="shared" ca="1" si="33"/>
        <v>郵便番号を入力してください。</v>
      </c>
      <c r="Y143">
        <f>IF(AND(LEN(G143)=3,LEN(H143)=4)=TRUE,0,1)</f>
        <v>1</v>
      </c>
      <c r="Z143">
        <f>IFERROR(IF(0&lt;VALUE(G143),0,1),1)</f>
        <v>1</v>
      </c>
      <c r="AA143" t="str">
        <f>C143&amp;"を入力してください。"</f>
        <v>郵便番号を入力してください。</v>
      </c>
      <c r="AB143" t="str">
        <f>"正しい"&amp;C143&amp;"を入力してください。"</f>
        <v>正しい郵便番号を入力してください。</v>
      </c>
    </row>
    <row r="144" spans="2:28" x14ac:dyDescent="0.2">
      <c r="B144" s="5">
        <v>24</v>
      </c>
      <c r="C144" s="5" t="s">
        <v>10</v>
      </c>
      <c r="D144" s="4">
        <f t="shared" si="31"/>
        <v>0</v>
      </c>
      <c r="E144" s="4"/>
      <c r="F144" s="4"/>
      <c r="G144" s="12" t="str">
        <f>IF($D144=1,TRIM(CLEAN('入力シート（2事業場以降）'!P67)),"")&amp;""</f>
        <v/>
      </c>
      <c r="W144" s="41" t="str">
        <f t="shared" si="32"/>
        <v>OK</v>
      </c>
      <c r="X144" t="str">
        <f t="shared" ca="1" si="33"/>
        <v>都道府県を選択してください。</v>
      </c>
      <c r="Y144">
        <f>IF(G144&lt;&gt;"",0,1)</f>
        <v>1</v>
      </c>
      <c r="AA144" t="str">
        <f>C144&amp;"を選択してください。"</f>
        <v>都道府県を選択してください。</v>
      </c>
    </row>
    <row r="145" spans="2:28" x14ac:dyDescent="0.2">
      <c r="B145" s="5">
        <v>24</v>
      </c>
      <c r="C145" s="5" t="s">
        <v>13</v>
      </c>
      <c r="D145" s="4">
        <f t="shared" si="31"/>
        <v>0</v>
      </c>
      <c r="E145" s="34" t="str">
        <f>DBCS('入力シート（2事業場以降）'!R67)</f>
        <v/>
      </c>
      <c r="F145" s="4"/>
      <c r="G145" s="12" t="str">
        <f>IF($D145=1,TRIM(CLEAN('入力シート（2事業場以降）'!R67)),"")&amp;""</f>
        <v/>
      </c>
      <c r="W145" s="41" t="str">
        <f t="shared" si="32"/>
        <v>OK</v>
      </c>
      <c r="X145" t="str">
        <f t="shared" ca="1" si="33"/>
        <v>市区町村を入力してください。</v>
      </c>
      <c r="Y145">
        <f>IF(G145&lt;&gt;"",0,1)</f>
        <v>1</v>
      </c>
      <c r="AA145" t="str">
        <f>C145&amp;"を入力してください。"</f>
        <v>市区町村を入力してください。</v>
      </c>
    </row>
    <row r="146" spans="2:28" x14ac:dyDescent="0.2">
      <c r="B146" s="5">
        <v>24</v>
      </c>
      <c r="C146" s="5" t="s">
        <v>15</v>
      </c>
      <c r="D146" s="4">
        <f t="shared" si="31"/>
        <v>0</v>
      </c>
      <c r="E146" s="34" t="str">
        <f>DBCS('入力シート（2事業場以降）'!V67)</f>
        <v/>
      </c>
      <c r="F146" s="4"/>
      <c r="G146" s="12" t="str">
        <f>IF($D146=1,TRIM(CLEAN('入力シート（2事業場以降）'!V67)),"")&amp;""</f>
        <v/>
      </c>
      <c r="W146" s="41" t="str">
        <f t="shared" si="32"/>
        <v>OK</v>
      </c>
      <c r="X146" t="str">
        <f t="shared" ca="1" si="33"/>
        <v>町名地番を入力してください。</v>
      </c>
      <c r="Y146">
        <f>IF(G146&lt;&gt;"",0,1)</f>
        <v>1</v>
      </c>
      <c r="AA146" t="str">
        <f>C146&amp;"を入力してください。"</f>
        <v>町名地番を入力してください。</v>
      </c>
    </row>
    <row r="147" spans="2:28" x14ac:dyDescent="0.2">
      <c r="B147" s="5">
        <v>24</v>
      </c>
      <c r="C147" s="5" t="s">
        <v>18</v>
      </c>
      <c r="D147" s="4">
        <f t="shared" si="31"/>
        <v>0</v>
      </c>
      <c r="E147" s="34" t="str">
        <f>DBCS('入力シート（2事業場以降）'!Z67)</f>
        <v/>
      </c>
      <c r="F147" s="4"/>
      <c r="G147" s="12" t="str">
        <f>IF($D147=1,TRIM(CLEAN('入力シート（2事業場以降）'!Z67)),"")&amp;""</f>
        <v/>
      </c>
      <c r="W147" s="41" t="str">
        <f t="shared" si="32"/>
        <v>OK</v>
      </c>
    </row>
    <row r="148" spans="2:28" x14ac:dyDescent="0.2">
      <c r="B148" s="5">
        <v>25</v>
      </c>
      <c r="C148" s="5" t="s">
        <v>23</v>
      </c>
      <c r="D148" s="4">
        <f t="shared" si="31"/>
        <v>0</v>
      </c>
      <c r="E148" s="34" t="str">
        <f>DBCS('入力シート（2事業場以降）'!F69)</f>
        <v/>
      </c>
      <c r="F148" s="4" t="str">
        <f>SUBSTITUTE(SUBSTITUTE(SUBSTITUTE(SUBSTITUTE(E148,"　株式会社","株式会社"),"会社　","会社"),"　有限会社","有限会社"),"　合同会社","合同会社")</f>
        <v/>
      </c>
      <c r="G148" s="13" t="str">
        <f>IF($D148=1,TRIM(CLEAN(F148)),"")&amp;""</f>
        <v/>
      </c>
      <c r="W148" s="41" t="str">
        <f t="shared" si="32"/>
        <v>OK</v>
      </c>
      <c r="X148" t="str">
        <f t="shared" ref="X148:X152" ca="1" si="34">IF(Y148=0,IF(Z148&lt;&gt;0,OFFSET(AA148,0,Z148),$V$1),AA148)</f>
        <v>事業場名を入力してください。</v>
      </c>
      <c r="Y148">
        <f>IF(G148&lt;&gt;"",0,1)</f>
        <v>1</v>
      </c>
      <c r="AA148" t="str">
        <f>C148&amp;"を入力してください。"</f>
        <v>事業場名を入力してください。</v>
      </c>
    </row>
    <row r="149" spans="2:28" x14ac:dyDescent="0.2">
      <c r="B149" s="5">
        <v>25</v>
      </c>
      <c r="C149" s="5" t="s">
        <v>8</v>
      </c>
      <c r="D149" s="4">
        <f t="shared" si="31"/>
        <v>0</v>
      </c>
      <c r="E149" s="4"/>
      <c r="F149" s="4"/>
      <c r="G149" s="12" t="str">
        <f>IF($D149=1,TRIM(CLEAN(ASC('入力シート（2事業場以降）'!L69))),"")&amp;""</f>
        <v/>
      </c>
      <c r="H149" s="12" t="str">
        <f>IF($D149=1,TRIM(CLEAN(ASC('入力シート（2事業場以降）'!N69))),"")&amp;""</f>
        <v/>
      </c>
      <c r="W149" s="41" t="str">
        <f t="shared" si="32"/>
        <v>OK</v>
      </c>
      <c r="X149" t="str">
        <f t="shared" ca="1" si="34"/>
        <v>郵便番号を入力してください。</v>
      </c>
      <c r="Y149">
        <f>IF(AND(LEN(G149)=3,LEN(H149)=4)=TRUE,0,1)</f>
        <v>1</v>
      </c>
      <c r="Z149">
        <f>IFERROR(IF(0&lt;VALUE(G149),0,1),1)</f>
        <v>1</v>
      </c>
      <c r="AA149" t="str">
        <f>C149&amp;"を入力してください。"</f>
        <v>郵便番号を入力してください。</v>
      </c>
      <c r="AB149" t="str">
        <f>"正しい"&amp;C149&amp;"を入力してください。"</f>
        <v>正しい郵便番号を入力してください。</v>
      </c>
    </row>
    <row r="150" spans="2:28" x14ac:dyDescent="0.2">
      <c r="B150" s="5">
        <v>25</v>
      </c>
      <c r="C150" s="5" t="s">
        <v>10</v>
      </c>
      <c r="D150" s="4">
        <f t="shared" si="31"/>
        <v>0</v>
      </c>
      <c r="E150" s="4"/>
      <c r="F150" s="4"/>
      <c r="G150" s="12" t="str">
        <f>IF($D150=1,TRIM(CLEAN('入力シート（2事業場以降）'!P69)),"")&amp;""</f>
        <v/>
      </c>
      <c r="W150" s="41" t="str">
        <f t="shared" si="32"/>
        <v>OK</v>
      </c>
      <c r="X150" t="str">
        <f t="shared" ca="1" si="34"/>
        <v>都道府県を選択してください。</v>
      </c>
      <c r="Y150">
        <f>IF(G150&lt;&gt;"",0,1)</f>
        <v>1</v>
      </c>
      <c r="AA150" t="str">
        <f>C150&amp;"を選択してください。"</f>
        <v>都道府県を選択してください。</v>
      </c>
    </row>
    <row r="151" spans="2:28" x14ac:dyDescent="0.2">
      <c r="B151" s="5">
        <v>25</v>
      </c>
      <c r="C151" s="5" t="s">
        <v>13</v>
      </c>
      <c r="D151" s="4">
        <f t="shared" si="31"/>
        <v>0</v>
      </c>
      <c r="E151" s="34" t="str">
        <f>DBCS('入力シート（2事業場以降）'!R69)</f>
        <v/>
      </c>
      <c r="F151" s="4"/>
      <c r="G151" s="12" t="str">
        <f>IF($D151=1,TRIM(CLEAN('入力シート（2事業場以降）'!R69)),"")&amp;""</f>
        <v/>
      </c>
      <c r="W151" s="41" t="str">
        <f t="shared" si="32"/>
        <v>OK</v>
      </c>
      <c r="X151" t="str">
        <f t="shared" ca="1" si="34"/>
        <v>市区町村を入力してください。</v>
      </c>
      <c r="Y151">
        <f>IF(G151&lt;&gt;"",0,1)</f>
        <v>1</v>
      </c>
      <c r="AA151" t="str">
        <f>C151&amp;"を入力してください。"</f>
        <v>市区町村を入力してください。</v>
      </c>
    </row>
    <row r="152" spans="2:28" x14ac:dyDescent="0.2">
      <c r="B152" s="5">
        <v>25</v>
      </c>
      <c r="C152" s="5" t="s">
        <v>15</v>
      </c>
      <c r="D152" s="4">
        <f t="shared" si="31"/>
        <v>0</v>
      </c>
      <c r="E152" s="34" t="str">
        <f>DBCS('入力シート（2事業場以降）'!V69)</f>
        <v/>
      </c>
      <c r="F152" s="4"/>
      <c r="G152" s="12" t="str">
        <f>IF($D152=1,TRIM(CLEAN('入力シート（2事業場以降）'!V69)),"")&amp;""</f>
        <v/>
      </c>
      <c r="W152" s="41" t="str">
        <f t="shared" si="32"/>
        <v>OK</v>
      </c>
      <c r="X152" t="str">
        <f t="shared" ca="1" si="34"/>
        <v>町名地番を入力してください。</v>
      </c>
      <c r="Y152">
        <f>IF(G152&lt;&gt;"",0,1)</f>
        <v>1</v>
      </c>
      <c r="AA152" t="str">
        <f>C152&amp;"を入力してください。"</f>
        <v>町名地番を入力してください。</v>
      </c>
    </row>
    <row r="153" spans="2:28" x14ac:dyDescent="0.2">
      <c r="B153" s="5">
        <v>25</v>
      </c>
      <c r="C153" s="5" t="s">
        <v>18</v>
      </c>
      <c r="D153" s="4">
        <f t="shared" si="31"/>
        <v>0</v>
      </c>
      <c r="E153" s="34" t="str">
        <f>DBCS('入力シート（2事業場以降）'!Z69)</f>
        <v/>
      </c>
      <c r="F153" s="4"/>
      <c r="G153" s="12" t="str">
        <f>IF($D153=1,TRIM(CLEAN('入力シート（2事業場以降）'!Z69)),"")&amp;""</f>
        <v/>
      </c>
      <c r="W153" s="41" t="str">
        <f t="shared" si="32"/>
        <v>OK</v>
      </c>
    </row>
    <row r="154" spans="2:28" x14ac:dyDescent="0.2">
      <c r="B154" s="5">
        <v>26</v>
      </c>
      <c r="C154" s="5" t="s">
        <v>23</v>
      </c>
      <c r="D154" s="4">
        <f t="shared" si="31"/>
        <v>0</v>
      </c>
      <c r="E154" s="34" t="str">
        <f>DBCS('入力シート（2事業場以降）'!F71)</f>
        <v/>
      </c>
      <c r="F154" s="4" t="str">
        <f>SUBSTITUTE(SUBSTITUTE(SUBSTITUTE(SUBSTITUTE(E154,"　株式会社","株式会社"),"会社　","会社"),"　有限会社","有限会社"),"　合同会社","合同会社")</f>
        <v/>
      </c>
      <c r="G154" s="13" t="str">
        <f>IF($D154=1,TRIM(CLEAN(F154)),"")&amp;""</f>
        <v/>
      </c>
      <c r="W154" s="41" t="str">
        <f t="shared" si="32"/>
        <v>OK</v>
      </c>
      <c r="X154" t="str">
        <f t="shared" ref="X154:X158" ca="1" si="35">IF(Y154=0,IF(Z154&lt;&gt;0,OFFSET(AA154,0,Z154),$V$1),AA154)</f>
        <v>事業場名を入力してください。</v>
      </c>
      <c r="Y154">
        <f>IF(G154&lt;&gt;"",0,1)</f>
        <v>1</v>
      </c>
      <c r="AA154" t="str">
        <f>C154&amp;"を入力してください。"</f>
        <v>事業場名を入力してください。</v>
      </c>
    </row>
    <row r="155" spans="2:28" x14ac:dyDescent="0.2">
      <c r="B155" s="5">
        <v>26</v>
      </c>
      <c r="C155" s="5" t="s">
        <v>8</v>
      </c>
      <c r="D155" s="4">
        <f t="shared" si="31"/>
        <v>0</v>
      </c>
      <c r="E155" s="4"/>
      <c r="F155" s="4"/>
      <c r="G155" s="12" t="str">
        <f>IF($D155=1,TRIM(CLEAN(ASC('入力シート（2事業場以降）'!L71))),"")&amp;""</f>
        <v/>
      </c>
      <c r="H155" s="12" t="str">
        <f>IF($D155=1,TRIM(CLEAN(ASC('入力シート（2事業場以降）'!N71))),"")&amp;""</f>
        <v/>
      </c>
      <c r="W155" s="41" t="str">
        <f t="shared" si="32"/>
        <v>OK</v>
      </c>
      <c r="X155" t="str">
        <f t="shared" ca="1" si="35"/>
        <v>郵便番号を入力してください。</v>
      </c>
      <c r="Y155">
        <f>IF(AND(LEN(G155)=3,LEN(H155)=4)=TRUE,0,1)</f>
        <v>1</v>
      </c>
      <c r="Z155">
        <f>IFERROR(IF(0&lt;VALUE(G155),0,1),1)</f>
        <v>1</v>
      </c>
      <c r="AA155" t="str">
        <f>C155&amp;"を入力してください。"</f>
        <v>郵便番号を入力してください。</v>
      </c>
      <c r="AB155" t="str">
        <f>"正しい"&amp;C155&amp;"を入力してください。"</f>
        <v>正しい郵便番号を入力してください。</v>
      </c>
    </row>
    <row r="156" spans="2:28" x14ac:dyDescent="0.2">
      <c r="B156" s="5">
        <v>26</v>
      </c>
      <c r="C156" s="5" t="s">
        <v>10</v>
      </c>
      <c r="D156" s="4">
        <f t="shared" si="31"/>
        <v>0</v>
      </c>
      <c r="E156" s="4"/>
      <c r="F156" s="4"/>
      <c r="G156" s="12" t="str">
        <f>IF($D156=1,TRIM(CLEAN('入力シート（2事業場以降）'!P71)),"")&amp;""</f>
        <v/>
      </c>
      <c r="W156" s="41" t="str">
        <f t="shared" si="32"/>
        <v>OK</v>
      </c>
      <c r="X156" t="str">
        <f t="shared" ca="1" si="35"/>
        <v>都道府県を選択してください。</v>
      </c>
      <c r="Y156">
        <f>IF(G156&lt;&gt;"",0,1)</f>
        <v>1</v>
      </c>
      <c r="AA156" t="str">
        <f>C156&amp;"を選択してください。"</f>
        <v>都道府県を選択してください。</v>
      </c>
    </row>
    <row r="157" spans="2:28" x14ac:dyDescent="0.2">
      <c r="B157" s="5">
        <v>26</v>
      </c>
      <c r="C157" s="5" t="s">
        <v>13</v>
      </c>
      <c r="D157" s="4">
        <f t="shared" si="31"/>
        <v>0</v>
      </c>
      <c r="E157" s="34" t="str">
        <f>DBCS('入力シート（2事業場以降）'!R71)</f>
        <v/>
      </c>
      <c r="F157" s="4"/>
      <c r="G157" s="12" t="str">
        <f>IF($D157=1,TRIM(CLEAN('入力シート（2事業場以降）'!R71)),"")&amp;""</f>
        <v/>
      </c>
      <c r="W157" s="41" t="str">
        <f t="shared" si="32"/>
        <v>OK</v>
      </c>
      <c r="X157" t="str">
        <f t="shared" ca="1" si="35"/>
        <v>市区町村を入力してください。</v>
      </c>
      <c r="Y157">
        <f>IF(G157&lt;&gt;"",0,1)</f>
        <v>1</v>
      </c>
      <c r="AA157" t="str">
        <f>C157&amp;"を入力してください。"</f>
        <v>市区町村を入力してください。</v>
      </c>
    </row>
    <row r="158" spans="2:28" x14ac:dyDescent="0.2">
      <c r="B158" s="5">
        <v>26</v>
      </c>
      <c r="C158" s="5" t="s">
        <v>15</v>
      </c>
      <c r="D158" s="4">
        <f t="shared" si="31"/>
        <v>0</v>
      </c>
      <c r="E158" s="34" t="str">
        <f>DBCS('入力シート（2事業場以降）'!V71)</f>
        <v/>
      </c>
      <c r="F158" s="4"/>
      <c r="G158" s="12" t="str">
        <f>IF($D158=1,TRIM(CLEAN('入力シート（2事業場以降）'!V71)),"")&amp;""</f>
        <v/>
      </c>
      <c r="W158" s="41" t="str">
        <f t="shared" si="32"/>
        <v>OK</v>
      </c>
      <c r="X158" t="str">
        <f t="shared" ca="1" si="35"/>
        <v>町名地番を入力してください。</v>
      </c>
      <c r="Y158">
        <f>IF(G158&lt;&gt;"",0,1)</f>
        <v>1</v>
      </c>
      <c r="AA158" t="str">
        <f>C158&amp;"を入力してください。"</f>
        <v>町名地番を入力してください。</v>
      </c>
    </row>
    <row r="159" spans="2:28" x14ac:dyDescent="0.2">
      <c r="B159" s="5">
        <v>26</v>
      </c>
      <c r="C159" s="5" t="s">
        <v>18</v>
      </c>
      <c r="D159" s="4">
        <f t="shared" si="31"/>
        <v>0</v>
      </c>
      <c r="E159" s="34" t="str">
        <f>DBCS('入力シート（2事業場以降）'!Z71)</f>
        <v/>
      </c>
      <c r="F159" s="4"/>
      <c r="G159" s="12" t="str">
        <f>IF($D159=1,TRIM(CLEAN('入力シート（2事業場以降）'!Z71)),"")&amp;""</f>
        <v/>
      </c>
      <c r="W159" s="41" t="str">
        <f t="shared" si="32"/>
        <v>OK</v>
      </c>
    </row>
    <row r="160" spans="2:28" x14ac:dyDescent="0.2">
      <c r="B160" s="5">
        <v>27</v>
      </c>
      <c r="C160" s="5" t="s">
        <v>23</v>
      </c>
      <c r="D160" s="4">
        <f t="shared" si="31"/>
        <v>0</v>
      </c>
      <c r="E160" s="34" t="str">
        <f>DBCS('入力シート（2事業場以降）'!F73)</f>
        <v/>
      </c>
      <c r="F160" s="4" t="str">
        <f>SUBSTITUTE(SUBSTITUTE(SUBSTITUTE(SUBSTITUTE(E160,"　株式会社","株式会社"),"会社　","会社"),"　有限会社","有限会社"),"　合同会社","合同会社")</f>
        <v/>
      </c>
      <c r="G160" s="13" t="str">
        <f>IF($D160=1,TRIM(CLEAN(F160)),"")&amp;""</f>
        <v/>
      </c>
      <c r="W160" s="41" t="str">
        <f t="shared" si="32"/>
        <v>OK</v>
      </c>
      <c r="X160" t="str">
        <f t="shared" ref="X160:X164" ca="1" si="36">IF(Y160=0,IF(Z160&lt;&gt;0,OFFSET(AA160,0,Z160),$V$1),AA160)</f>
        <v>事業場名を入力してください。</v>
      </c>
      <c r="Y160">
        <f>IF(G160&lt;&gt;"",0,1)</f>
        <v>1</v>
      </c>
      <c r="AA160" t="str">
        <f>C160&amp;"を入力してください。"</f>
        <v>事業場名を入力してください。</v>
      </c>
    </row>
    <row r="161" spans="2:28" x14ac:dyDescent="0.2">
      <c r="B161" s="5">
        <v>27</v>
      </c>
      <c r="C161" s="5" t="s">
        <v>8</v>
      </c>
      <c r="D161" s="4">
        <f t="shared" si="31"/>
        <v>0</v>
      </c>
      <c r="E161" s="4"/>
      <c r="F161" s="4"/>
      <c r="G161" s="12" t="str">
        <f>IF($D161=1,TRIM(CLEAN(ASC('入力シート（2事業場以降）'!L73))),"")&amp;""</f>
        <v/>
      </c>
      <c r="H161" s="12" t="str">
        <f>IF($D161=1,TRIM(CLEAN(ASC('入力シート（2事業場以降）'!N73))),"")&amp;""</f>
        <v/>
      </c>
      <c r="W161" s="41" t="str">
        <f t="shared" si="32"/>
        <v>OK</v>
      </c>
      <c r="X161" t="str">
        <f t="shared" ca="1" si="36"/>
        <v>郵便番号を入力してください。</v>
      </c>
      <c r="Y161">
        <f>IF(AND(LEN(G161)=3,LEN(H161)=4)=TRUE,0,1)</f>
        <v>1</v>
      </c>
      <c r="Z161">
        <f>IFERROR(IF(0&lt;VALUE(G161),0,1),1)</f>
        <v>1</v>
      </c>
      <c r="AA161" t="str">
        <f>C161&amp;"を入力してください。"</f>
        <v>郵便番号を入力してください。</v>
      </c>
      <c r="AB161" t="str">
        <f>"正しい"&amp;C161&amp;"を入力してください。"</f>
        <v>正しい郵便番号を入力してください。</v>
      </c>
    </row>
    <row r="162" spans="2:28" x14ac:dyDescent="0.2">
      <c r="B162" s="5">
        <v>27</v>
      </c>
      <c r="C162" s="5" t="s">
        <v>10</v>
      </c>
      <c r="D162" s="4">
        <f t="shared" si="31"/>
        <v>0</v>
      </c>
      <c r="E162" s="4"/>
      <c r="F162" s="4"/>
      <c r="G162" s="12" t="str">
        <f>IF($D162=1,TRIM(CLEAN('入力シート（2事業場以降）'!P73)),"")&amp;""</f>
        <v/>
      </c>
      <c r="W162" s="41" t="str">
        <f t="shared" si="32"/>
        <v>OK</v>
      </c>
      <c r="X162" t="str">
        <f t="shared" ca="1" si="36"/>
        <v>都道府県を選択してください。</v>
      </c>
      <c r="Y162">
        <f>IF(G162&lt;&gt;"",0,1)</f>
        <v>1</v>
      </c>
      <c r="AA162" t="str">
        <f>C162&amp;"を選択してください。"</f>
        <v>都道府県を選択してください。</v>
      </c>
    </row>
    <row r="163" spans="2:28" x14ac:dyDescent="0.2">
      <c r="B163" s="5">
        <v>27</v>
      </c>
      <c r="C163" s="5" t="s">
        <v>13</v>
      </c>
      <c r="D163" s="4">
        <f t="shared" si="31"/>
        <v>0</v>
      </c>
      <c r="E163" s="34" t="str">
        <f>DBCS('入力シート（2事業場以降）'!R73)</f>
        <v/>
      </c>
      <c r="F163" s="4"/>
      <c r="G163" s="12" t="str">
        <f>IF($D163=1,TRIM(CLEAN('入力シート（2事業場以降）'!R73)),"")&amp;""</f>
        <v/>
      </c>
      <c r="W163" s="41" t="str">
        <f t="shared" si="32"/>
        <v>OK</v>
      </c>
      <c r="X163" t="str">
        <f t="shared" ca="1" si="36"/>
        <v>市区町村を入力してください。</v>
      </c>
      <c r="Y163">
        <f>IF(G163&lt;&gt;"",0,1)</f>
        <v>1</v>
      </c>
      <c r="AA163" t="str">
        <f>C163&amp;"を入力してください。"</f>
        <v>市区町村を入力してください。</v>
      </c>
    </row>
    <row r="164" spans="2:28" x14ac:dyDescent="0.2">
      <c r="B164" s="5">
        <v>27</v>
      </c>
      <c r="C164" s="5" t="s">
        <v>15</v>
      </c>
      <c r="D164" s="4">
        <f t="shared" si="31"/>
        <v>0</v>
      </c>
      <c r="E164" s="34" t="str">
        <f>DBCS('入力シート（2事業場以降）'!V73)</f>
        <v/>
      </c>
      <c r="F164" s="4"/>
      <c r="G164" s="12" t="str">
        <f>IF($D164=1,TRIM(CLEAN('入力シート（2事業場以降）'!V73)),"")&amp;""</f>
        <v/>
      </c>
      <c r="W164" s="41" t="str">
        <f t="shared" si="32"/>
        <v>OK</v>
      </c>
      <c r="X164" t="str">
        <f t="shared" ca="1" si="36"/>
        <v>町名地番を入力してください。</v>
      </c>
      <c r="Y164">
        <f>IF(G164&lt;&gt;"",0,1)</f>
        <v>1</v>
      </c>
      <c r="AA164" t="str">
        <f>C164&amp;"を入力してください。"</f>
        <v>町名地番を入力してください。</v>
      </c>
    </row>
    <row r="165" spans="2:28" x14ac:dyDescent="0.2">
      <c r="B165" s="5">
        <v>27</v>
      </c>
      <c r="C165" s="5" t="s">
        <v>18</v>
      </c>
      <c r="D165" s="4">
        <f t="shared" si="31"/>
        <v>0</v>
      </c>
      <c r="E165" s="34" t="str">
        <f>DBCS('入力シート（2事業場以降）'!Z73)</f>
        <v/>
      </c>
      <c r="F165" s="4"/>
      <c r="G165" s="12" t="str">
        <f>IF($D165=1,TRIM(CLEAN('入力シート（2事業場以降）'!Z73)),"")&amp;""</f>
        <v/>
      </c>
      <c r="W165" s="41" t="str">
        <f t="shared" si="32"/>
        <v>OK</v>
      </c>
    </row>
    <row r="166" spans="2:28" x14ac:dyDescent="0.2">
      <c r="B166" s="5">
        <v>28</v>
      </c>
      <c r="C166" s="5" t="s">
        <v>23</v>
      </c>
      <c r="D166" s="4">
        <f t="shared" si="31"/>
        <v>0</v>
      </c>
      <c r="E166" s="34" t="str">
        <f>DBCS('入力シート（2事業場以降）'!F75)</f>
        <v/>
      </c>
      <c r="F166" s="4" t="str">
        <f>SUBSTITUTE(SUBSTITUTE(SUBSTITUTE(SUBSTITUTE(E166,"　株式会社","株式会社"),"会社　","会社"),"　有限会社","有限会社"),"　合同会社","合同会社")</f>
        <v/>
      </c>
      <c r="G166" s="13" t="str">
        <f>IF($D166=1,TRIM(CLEAN(F166)),"")&amp;""</f>
        <v/>
      </c>
      <c r="W166" s="41" t="str">
        <f t="shared" si="32"/>
        <v>OK</v>
      </c>
      <c r="X166" t="str">
        <f t="shared" ref="X166:X170" ca="1" si="37">IF(Y166=0,IF(Z166&lt;&gt;0,OFFSET(AA166,0,Z166),$V$1),AA166)</f>
        <v>事業場名を入力してください。</v>
      </c>
      <c r="Y166">
        <f>IF(G166&lt;&gt;"",0,1)</f>
        <v>1</v>
      </c>
      <c r="AA166" t="str">
        <f>C166&amp;"を入力してください。"</f>
        <v>事業場名を入力してください。</v>
      </c>
    </row>
    <row r="167" spans="2:28" x14ac:dyDescent="0.2">
      <c r="B167" s="5">
        <v>28</v>
      </c>
      <c r="C167" s="5" t="s">
        <v>8</v>
      </c>
      <c r="D167" s="4">
        <f t="shared" si="31"/>
        <v>0</v>
      </c>
      <c r="E167" s="4"/>
      <c r="F167" s="4"/>
      <c r="G167" s="12" t="str">
        <f>IF($D167=1,TRIM(CLEAN(ASC('入力シート（2事業場以降）'!L75))),"")&amp;""</f>
        <v/>
      </c>
      <c r="H167" s="12" t="str">
        <f>IF($D167=1,TRIM(CLEAN(ASC('入力シート（2事業場以降）'!N75))),"")&amp;""</f>
        <v/>
      </c>
      <c r="W167" s="41" t="str">
        <f t="shared" si="32"/>
        <v>OK</v>
      </c>
      <c r="X167" t="str">
        <f t="shared" ca="1" si="37"/>
        <v>郵便番号を入力してください。</v>
      </c>
      <c r="Y167">
        <f>IF(AND(LEN(G167)=3,LEN(H167)=4)=TRUE,0,1)</f>
        <v>1</v>
      </c>
      <c r="Z167">
        <f>IFERROR(IF(0&lt;VALUE(G167),0,1),1)</f>
        <v>1</v>
      </c>
      <c r="AA167" t="str">
        <f>C167&amp;"を入力してください。"</f>
        <v>郵便番号を入力してください。</v>
      </c>
      <c r="AB167" t="str">
        <f>"正しい"&amp;C167&amp;"を入力してください。"</f>
        <v>正しい郵便番号を入力してください。</v>
      </c>
    </row>
    <row r="168" spans="2:28" x14ac:dyDescent="0.2">
      <c r="B168" s="5">
        <v>28</v>
      </c>
      <c r="C168" s="5" t="s">
        <v>10</v>
      </c>
      <c r="D168" s="4">
        <f t="shared" si="31"/>
        <v>0</v>
      </c>
      <c r="E168" s="4"/>
      <c r="F168" s="4"/>
      <c r="G168" s="12" t="str">
        <f>IF($D168=1,TRIM(CLEAN('入力シート（2事業場以降）'!P75)),"")&amp;""</f>
        <v/>
      </c>
      <c r="W168" s="41" t="str">
        <f t="shared" si="32"/>
        <v>OK</v>
      </c>
      <c r="X168" t="str">
        <f t="shared" ca="1" si="37"/>
        <v>都道府県を選択してください。</v>
      </c>
      <c r="Y168">
        <f>IF(G168&lt;&gt;"",0,1)</f>
        <v>1</v>
      </c>
      <c r="AA168" t="str">
        <f>C168&amp;"を選択してください。"</f>
        <v>都道府県を選択してください。</v>
      </c>
    </row>
    <row r="169" spans="2:28" x14ac:dyDescent="0.2">
      <c r="B169" s="5">
        <v>28</v>
      </c>
      <c r="C169" s="5" t="s">
        <v>13</v>
      </c>
      <c r="D169" s="4">
        <f t="shared" si="31"/>
        <v>0</v>
      </c>
      <c r="E169" s="34" t="str">
        <f>DBCS('入力シート（2事業場以降）'!R75)</f>
        <v/>
      </c>
      <c r="F169" s="4"/>
      <c r="G169" s="12" t="str">
        <f>IF($D169=1,TRIM(CLEAN('入力シート（2事業場以降）'!R75)),"")&amp;""</f>
        <v/>
      </c>
      <c r="W169" s="41" t="str">
        <f t="shared" si="32"/>
        <v>OK</v>
      </c>
      <c r="X169" t="str">
        <f t="shared" ca="1" si="37"/>
        <v>市区町村を入力してください。</v>
      </c>
      <c r="Y169">
        <f>IF(G169&lt;&gt;"",0,1)</f>
        <v>1</v>
      </c>
      <c r="AA169" t="str">
        <f>C169&amp;"を入力してください。"</f>
        <v>市区町村を入力してください。</v>
      </c>
    </row>
    <row r="170" spans="2:28" x14ac:dyDescent="0.2">
      <c r="B170" s="5">
        <v>28</v>
      </c>
      <c r="C170" s="5" t="s">
        <v>15</v>
      </c>
      <c r="D170" s="4">
        <f t="shared" si="31"/>
        <v>0</v>
      </c>
      <c r="E170" s="34" t="str">
        <f>DBCS('入力シート（2事業場以降）'!V75)</f>
        <v/>
      </c>
      <c r="F170" s="4"/>
      <c r="G170" s="12" t="str">
        <f>IF($D170=1,TRIM(CLEAN('入力シート（2事業場以降）'!V75)),"")&amp;""</f>
        <v/>
      </c>
      <c r="W170" s="41" t="str">
        <f t="shared" si="32"/>
        <v>OK</v>
      </c>
      <c r="X170" t="str">
        <f t="shared" ca="1" si="37"/>
        <v>町名地番を入力してください。</v>
      </c>
      <c r="Y170">
        <f>IF(G170&lt;&gt;"",0,1)</f>
        <v>1</v>
      </c>
      <c r="AA170" t="str">
        <f>C170&amp;"を入力してください。"</f>
        <v>町名地番を入力してください。</v>
      </c>
    </row>
    <row r="171" spans="2:28" x14ac:dyDescent="0.2">
      <c r="B171" s="5">
        <v>28</v>
      </c>
      <c r="C171" s="5" t="s">
        <v>18</v>
      </c>
      <c r="D171" s="4">
        <f t="shared" si="31"/>
        <v>0</v>
      </c>
      <c r="E171" s="34" t="str">
        <f>DBCS('入力シート（2事業場以降）'!Z75)</f>
        <v/>
      </c>
      <c r="F171" s="4"/>
      <c r="G171" s="12" t="str">
        <f>IF($D171=1,TRIM(CLEAN('入力シート（2事業場以降）'!Z75)),"")&amp;""</f>
        <v/>
      </c>
      <c r="W171" s="41" t="str">
        <f t="shared" si="32"/>
        <v>OK</v>
      </c>
    </row>
    <row r="172" spans="2:28" x14ac:dyDescent="0.2">
      <c r="B172" s="5">
        <v>29</v>
      </c>
      <c r="C172" s="5" t="s">
        <v>23</v>
      </c>
      <c r="D172" s="4">
        <f t="shared" si="31"/>
        <v>0</v>
      </c>
      <c r="E172" s="34" t="str">
        <f>DBCS('入力シート（2事業場以降）'!F77)</f>
        <v/>
      </c>
      <c r="F172" s="4" t="str">
        <f>SUBSTITUTE(SUBSTITUTE(SUBSTITUTE(SUBSTITUTE(E172,"　株式会社","株式会社"),"会社　","会社"),"　有限会社","有限会社"),"　合同会社","合同会社")</f>
        <v/>
      </c>
      <c r="G172" s="13" t="str">
        <f>IF($D172=1,TRIM(CLEAN(F172)),"")&amp;""</f>
        <v/>
      </c>
      <c r="W172" s="41" t="str">
        <f t="shared" si="32"/>
        <v>OK</v>
      </c>
      <c r="X172" t="str">
        <f t="shared" ref="X172:X176" ca="1" si="38">IF(Y172=0,IF(Z172&lt;&gt;0,OFFSET(AA172,0,Z172),$V$1),AA172)</f>
        <v>事業場名を入力してください。</v>
      </c>
      <c r="Y172">
        <f>IF(G172&lt;&gt;"",0,1)</f>
        <v>1</v>
      </c>
      <c r="AA172" t="str">
        <f>C172&amp;"を入力してください。"</f>
        <v>事業場名を入力してください。</v>
      </c>
    </row>
    <row r="173" spans="2:28" x14ac:dyDescent="0.2">
      <c r="B173" s="5">
        <v>29</v>
      </c>
      <c r="C173" s="5" t="s">
        <v>8</v>
      </c>
      <c r="D173" s="4">
        <f t="shared" si="31"/>
        <v>0</v>
      </c>
      <c r="E173" s="4"/>
      <c r="F173" s="4"/>
      <c r="G173" s="12" t="str">
        <f>IF($D173=1,TRIM(CLEAN(ASC('入力シート（2事業場以降）'!L77))),"")&amp;""</f>
        <v/>
      </c>
      <c r="H173" s="12" t="str">
        <f>IF($D173=1,TRIM(CLEAN(ASC('入力シート（2事業場以降）'!N77))),"")&amp;""</f>
        <v/>
      </c>
      <c r="W173" s="41" t="str">
        <f t="shared" si="32"/>
        <v>OK</v>
      </c>
      <c r="X173" t="str">
        <f t="shared" ca="1" si="38"/>
        <v>郵便番号を入力してください。</v>
      </c>
      <c r="Y173">
        <f>IF(AND(LEN(G173)=3,LEN(H173)=4)=TRUE,0,1)</f>
        <v>1</v>
      </c>
      <c r="Z173">
        <f>IFERROR(IF(0&lt;VALUE(G173),0,1),1)</f>
        <v>1</v>
      </c>
      <c r="AA173" t="str">
        <f>C173&amp;"を入力してください。"</f>
        <v>郵便番号を入力してください。</v>
      </c>
      <c r="AB173" t="str">
        <f>"正しい"&amp;C173&amp;"を入力してください。"</f>
        <v>正しい郵便番号を入力してください。</v>
      </c>
    </row>
    <row r="174" spans="2:28" x14ac:dyDescent="0.2">
      <c r="B174" s="5">
        <v>29</v>
      </c>
      <c r="C174" s="5" t="s">
        <v>10</v>
      </c>
      <c r="D174" s="4">
        <f t="shared" si="31"/>
        <v>0</v>
      </c>
      <c r="E174" s="4"/>
      <c r="F174" s="4"/>
      <c r="G174" s="12" t="str">
        <f>IF($D174=1,TRIM(CLEAN('入力シート（2事業場以降）'!P77)),"")&amp;""</f>
        <v/>
      </c>
      <c r="W174" s="41" t="str">
        <f t="shared" si="32"/>
        <v>OK</v>
      </c>
      <c r="X174" t="str">
        <f t="shared" ca="1" si="38"/>
        <v>都道府県を選択してください。</v>
      </c>
      <c r="Y174">
        <f>IF(G174&lt;&gt;"",0,1)</f>
        <v>1</v>
      </c>
      <c r="AA174" t="str">
        <f>C174&amp;"を選択してください。"</f>
        <v>都道府県を選択してください。</v>
      </c>
    </row>
    <row r="175" spans="2:28" x14ac:dyDescent="0.2">
      <c r="B175" s="5">
        <v>29</v>
      </c>
      <c r="C175" s="5" t="s">
        <v>13</v>
      </c>
      <c r="D175" s="4">
        <f t="shared" si="31"/>
        <v>0</v>
      </c>
      <c r="E175" s="34" t="str">
        <f>DBCS('入力シート（2事業場以降）'!R77)</f>
        <v/>
      </c>
      <c r="F175" s="4"/>
      <c r="G175" s="12" t="str">
        <f>IF($D175=1,TRIM(CLEAN('入力シート（2事業場以降）'!R77)),"")&amp;""</f>
        <v/>
      </c>
      <c r="W175" s="41" t="str">
        <f t="shared" si="32"/>
        <v>OK</v>
      </c>
      <c r="X175" t="str">
        <f t="shared" ca="1" si="38"/>
        <v>市区町村を入力してください。</v>
      </c>
      <c r="Y175">
        <f>IF(G175&lt;&gt;"",0,1)</f>
        <v>1</v>
      </c>
      <c r="AA175" t="str">
        <f>C175&amp;"を入力してください。"</f>
        <v>市区町村を入力してください。</v>
      </c>
    </row>
    <row r="176" spans="2:28" x14ac:dyDescent="0.2">
      <c r="B176" s="5">
        <v>29</v>
      </c>
      <c r="C176" s="5" t="s">
        <v>15</v>
      </c>
      <c r="D176" s="4">
        <f t="shared" si="31"/>
        <v>0</v>
      </c>
      <c r="E176" s="34" t="str">
        <f>DBCS('入力シート（2事業場以降）'!V77)</f>
        <v/>
      </c>
      <c r="F176" s="4"/>
      <c r="G176" s="12" t="str">
        <f>IF($D176=1,TRIM(CLEAN('入力シート（2事業場以降）'!V77)),"")&amp;""</f>
        <v/>
      </c>
      <c r="W176" s="41" t="str">
        <f t="shared" si="32"/>
        <v>OK</v>
      </c>
      <c r="X176" t="str">
        <f t="shared" ca="1" si="38"/>
        <v>町名地番を入力してください。</v>
      </c>
      <c r="Y176">
        <f>IF(G176&lt;&gt;"",0,1)</f>
        <v>1</v>
      </c>
      <c r="AA176" t="str">
        <f>C176&amp;"を入力してください。"</f>
        <v>町名地番を入力してください。</v>
      </c>
    </row>
    <row r="177" spans="2:37" x14ac:dyDescent="0.2">
      <c r="B177" s="5">
        <v>29</v>
      </c>
      <c r="C177" s="5" t="s">
        <v>18</v>
      </c>
      <c r="D177" s="4">
        <f t="shared" si="31"/>
        <v>0</v>
      </c>
      <c r="E177" s="34" t="str">
        <f>DBCS('入力シート（2事業場以降）'!Z77)</f>
        <v/>
      </c>
      <c r="F177" s="4"/>
      <c r="G177" s="12" t="str">
        <f>IF($D177=1,TRIM(CLEAN('入力シート（2事業場以降）'!Z77)),"")&amp;""</f>
        <v/>
      </c>
      <c r="W177" s="41" t="str">
        <f t="shared" si="32"/>
        <v>OK</v>
      </c>
    </row>
    <row r="178" spans="2:37" x14ac:dyDescent="0.2">
      <c r="B178" s="5">
        <v>30</v>
      </c>
      <c r="C178" s="5" t="s">
        <v>23</v>
      </c>
      <c r="D178" s="4">
        <f t="shared" si="31"/>
        <v>0</v>
      </c>
      <c r="E178" s="34" t="str">
        <f>DBCS('入力シート（2事業場以降）'!F79)</f>
        <v/>
      </c>
      <c r="F178" s="4" t="str">
        <f>SUBSTITUTE(SUBSTITUTE(SUBSTITUTE(SUBSTITUTE(E178,"　株式会社","株式会社"),"会社　","会社"),"　有限会社","有限会社"),"　合同会社","合同会社")</f>
        <v/>
      </c>
      <c r="G178" s="13" t="str">
        <f>IF($D178=1,TRIM(CLEAN(F178)),"")&amp;""</f>
        <v/>
      </c>
      <c r="W178" s="41" t="str">
        <f t="shared" si="32"/>
        <v>OK</v>
      </c>
      <c r="X178" t="str">
        <f t="shared" ref="X178:X182" ca="1" si="39">IF(Y178=0,IF(Z178&lt;&gt;0,OFFSET(AA178,0,Z178),$V$1),AA178)</f>
        <v>事業場名を入力してください。</v>
      </c>
      <c r="Y178">
        <f>IF(G178&lt;&gt;"",0,1)</f>
        <v>1</v>
      </c>
      <c r="AA178" t="str">
        <f>C178&amp;"を入力してください。"</f>
        <v>事業場名を入力してください。</v>
      </c>
    </row>
    <row r="179" spans="2:37" x14ac:dyDescent="0.2">
      <c r="B179" s="5">
        <v>30</v>
      </c>
      <c r="C179" s="5" t="s">
        <v>8</v>
      </c>
      <c r="D179" s="4">
        <f t="shared" si="31"/>
        <v>0</v>
      </c>
      <c r="E179" s="4"/>
      <c r="F179" s="4"/>
      <c r="G179" s="12" t="str">
        <f>IF($D179=1,TRIM(CLEAN(ASC('入力シート（2事業場以降）'!L79))),"")&amp;""</f>
        <v/>
      </c>
      <c r="H179" s="12" t="str">
        <f>IF($D179=1,TRIM(CLEAN(ASC('入力シート（2事業場以降）'!N79))),"")&amp;""</f>
        <v/>
      </c>
      <c r="W179" s="41" t="str">
        <f t="shared" si="32"/>
        <v>OK</v>
      </c>
      <c r="X179" t="str">
        <f t="shared" ca="1" si="39"/>
        <v>郵便番号を入力してください。</v>
      </c>
      <c r="Y179">
        <f>IF(AND(LEN(G179)=3,LEN(H179)=4)=TRUE,0,1)</f>
        <v>1</v>
      </c>
      <c r="Z179">
        <f>IFERROR(IF(0&lt;VALUE(G179),0,1),1)</f>
        <v>1</v>
      </c>
      <c r="AA179" t="str">
        <f>C179&amp;"を入力してください。"</f>
        <v>郵便番号を入力してください。</v>
      </c>
      <c r="AB179" t="str">
        <f>"正しい"&amp;C179&amp;"を入力してください。"</f>
        <v>正しい郵便番号を入力してください。</v>
      </c>
    </row>
    <row r="180" spans="2:37" x14ac:dyDescent="0.2">
      <c r="B180" s="5">
        <v>30</v>
      </c>
      <c r="C180" s="5" t="s">
        <v>10</v>
      </c>
      <c r="D180" s="4">
        <f t="shared" ref="D180:D183" si="40">IF(AND(B180&lt;=$G$3),1,0)</f>
        <v>0</v>
      </c>
      <c r="E180" s="4"/>
      <c r="F180" s="4"/>
      <c r="G180" s="12" t="str">
        <f>IF($D180=1,TRIM(CLEAN('入力シート（2事業場以降）'!P79)),"")&amp;""</f>
        <v/>
      </c>
      <c r="W180" s="41" t="str">
        <f t="shared" ref="W180:W183" si="41">IF(B180&lt;=$G$3,IF(X180="OK",X180,"NG"),"OK")</f>
        <v>OK</v>
      </c>
      <c r="X180" t="str">
        <f t="shared" ca="1" si="39"/>
        <v>都道府県を選択してください。</v>
      </c>
      <c r="Y180">
        <f>IF(G180&lt;&gt;"",0,1)</f>
        <v>1</v>
      </c>
      <c r="AA180" t="str">
        <f>C180&amp;"を選択してください。"</f>
        <v>都道府県を選択してください。</v>
      </c>
    </row>
    <row r="181" spans="2:37" x14ac:dyDescent="0.2">
      <c r="B181" s="5">
        <v>30</v>
      </c>
      <c r="C181" s="5" t="s">
        <v>13</v>
      </c>
      <c r="D181" s="4">
        <f t="shared" si="40"/>
        <v>0</v>
      </c>
      <c r="E181" s="34" t="str">
        <f>DBCS('入力シート（2事業場以降）'!R79)</f>
        <v/>
      </c>
      <c r="F181" s="4"/>
      <c r="G181" s="12" t="str">
        <f>IF($D181=1,TRIM(CLEAN('入力シート（2事業場以降）'!R79)),"")&amp;""</f>
        <v/>
      </c>
      <c r="W181" s="41" t="str">
        <f t="shared" si="41"/>
        <v>OK</v>
      </c>
      <c r="X181" t="str">
        <f t="shared" ca="1" si="39"/>
        <v>市区町村を入力してください。</v>
      </c>
      <c r="Y181">
        <f>IF(G181&lt;&gt;"",0,1)</f>
        <v>1</v>
      </c>
      <c r="AA181" t="str">
        <f>C181&amp;"を入力してください。"</f>
        <v>市区町村を入力してください。</v>
      </c>
    </row>
    <row r="182" spans="2:37" x14ac:dyDescent="0.2">
      <c r="B182" s="5">
        <v>30</v>
      </c>
      <c r="C182" s="5" t="s">
        <v>15</v>
      </c>
      <c r="D182" s="4">
        <f t="shared" si="40"/>
        <v>0</v>
      </c>
      <c r="E182" s="34" t="str">
        <f>DBCS('入力シート（2事業場以降）'!V79)</f>
        <v/>
      </c>
      <c r="F182" s="4"/>
      <c r="G182" s="12" t="str">
        <f>IF($D182=1,TRIM(CLEAN('入力シート（2事業場以降）'!V79)),"")&amp;""</f>
        <v/>
      </c>
      <c r="W182" s="41" t="str">
        <f t="shared" si="41"/>
        <v>OK</v>
      </c>
      <c r="X182" t="str">
        <f t="shared" ca="1" si="39"/>
        <v>町名地番を入力してください。</v>
      </c>
      <c r="Y182">
        <f>IF(G182&lt;&gt;"",0,1)</f>
        <v>1</v>
      </c>
      <c r="AA182" t="str">
        <f>C182&amp;"を入力してください。"</f>
        <v>町名地番を入力してください。</v>
      </c>
    </row>
    <row r="183" spans="2:37" x14ac:dyDescent="0.2">
      <c r="B183" s="5">
        <v>30</v>
      </c>
      <c r="C183" s="5" t="s">
        <v>18</v>
      </c>
      <c r="D183" s="4">
        <f t="shared" si="40"/>
        <v>0</v>
      </c>
      <c r="E183" s="34" t="str">
        <f>DBCS('入力シート（2事業場以降）'!Z79)</f>
        <v/>
      </c>
      <c r="F183" s="4"/>
      <c r="G183" s="12" t="str">
        <f>IF($D183=1,TRIM(CLEAN('入力シート（2事業場以降）'!Z79)),"")&amp;""</f>
        <v/>
      </c>
      <c r="W183" s="41" t="str">
        <f t="shared" si="41"/>
        <v>OK</v>
      </c>
    </row>
    <row r="184" spans="2:37" x14ac:dyDescent="0.2">
      <c r="AH184" s="48" t="s">
        <v>158</v>
      </c>
      <c r="AI184" s="46" cm="1">
        <f t="array" ref="AI184">SUM(1/COUNTIF(AK187:AK276,AK187:AK276))-1</f>
        <v>-1.5543122344752192E-15</v>
      </c>
      <c r="AJ184" s="46">
        <f>COUNTIF(AH187:AH276,"&lt;&gt;9999")</f>
        <v>0</v>
      </c>
      <c r="AK184" s="47">
        <f>IF(AND(AI184&lt;=2,AJ184&lt;=2),1,IF(AND(AI184&lt;=10,AJ184&lt;=30),2,3))</f>
        <v>1</v>
      </c>
    </row>
    <row r="185" spans="2:37" x14ac:dyDescent="0.2">
      <c r="B185" s="6" t="s">
        <v>159</v>
      </c>
      <c r="C185" s="8"/>
      <c r="D185" s="7"/>
      <c r="E185" s="6" t="s">
        <v>160</v>
      </c>
      <c r="F185" s="8"/>
      <c r="G185" s="6" t="s">
        <v>161</v>
      </c>
      <c r="H185" s="7"/>
      <c r="I185" s="7"/>
      <c r="J185" s="7"/>
      <c r="K185" s="7"/>
      <c r="L185" s="7"/>
      <c r="M185" s="7"/>
      <c r="N185" s="7"/>
      <c r="O185" s="7"/>
      <c r="P185" s="8"/>
      <c r="Q185" s="6" t="s">
        <v>294</v>
      </c>
      <c r="R185" s="7"/>
      <c r="S185" s="7"/>
      <c r="T185" s="8"/>
      <c r="AH185" s="15" t="s">
        <v>162</v>
      </c>
      <c r="AI185" s="15"/>
      <c r="AJ185" s="15"/>
      <c r="AK185" s="15"/>
    </row>
    <row r="186" spans="2:37" ht="26.4" x14ac:dyDescent="0.2">
      <c r="B186" s="5" t="s">
        <v>157</v>
      </c>
      <c r="C186" s="5" t="s">
        <v>558</v>
      </c>
      <c r="D186" s="5"/>
      <c r="E186" s="9" t="s">
        <v>156</v>
      </c>
      <c r="F186" s="45" t="s">
        <v>164</v>
      </c>
      <c r="G186" s="5" t="s">
        <v>165</v>
      </c>
      <c r="H186" s="5" t="s">
        <v>166</v>
      </c>
      <c r="I186" s="5" t="s">
        <v>167</v>
      </c>
      <c r="J186" s="5" t="s">
        <v>168</v>
      </c>
      <c r="K186" s="5" t="s">
        <v>169</v>
      </c>
      <c r="L186" s="5" t="s">
        <v>26</v>
      </c>
      <c r="M186" s="5" t="s">
        <v>27</v>
      </c>
      <c r="N186" s="5" t="s">
        <v>28</v>
      </c>
      <c r="O186" s="5" t="s">
        <v>170</v>
      </c>
      <c r="P186" s="5" t="s">
        <v>171</v>
      </c>
      <c r="Q186" s="5" t="s">
        <v>26</v>
      </c>
      <c r="R186" s="5" t="s">
        <v>27</v>
      </c>
      <c r="S186" s="5" t="s">
        <v>28</v>
      </c>
      <c r="T186" s="5" t="s">
        <v>170</v>
      </c>
      <c r="W186" s="41"/>
      <c r="X186" s="11" t="s">
        <v>150</v>
      </c>
      <c r="Y186" s="43" t="s">
        <v>143</v>
      </c>
      <c r="Z186" s="33" t="s">
        <v>144</v>
      </c>
      <c r="AA186" t="s">
        <v>172</v>
      </c>
      <c r="AB186" t="s">
        <v>173</v>
      </c>
      <c r="AC186" t="s">
        <v>174</v>
      </c>
      <c r="AD186" t="s">
        <v>151</v>
      </c>
      <c r="AE186" t="s">
        <v>152</v>
      </c>
      <c r="AF186" t="s">
        <v>153</v>
      </c>
      <c r="AH186" t="s">
        <v>175</v>
      </c>
      <c r="AI186" t="s">
        <v>176</v>
      </c>
      <c r="AJ186" t="s">
        <v>177</v>
      </c>
      <c r="AK186" t="s">
        <v>178</v>
      </c>
    </row>
    <row r="187" spans="2:37" x14ac:dyDescent="0.2">
      <c r="B187" s="5">
        <v>1</v>
      </c>
      <c r="C187" s="5">
        <v>1</v>
      </c>
      <c r="D187" s="4">
        <v>101</v>
      </c>
      <c r="E187" s="4">
        <v>1</v>
      </c>
      <c r="F187" s="12">
        <f>入力シート!$Y58</f>
        <v>0</v>
      </c>
      <c r="G187" s="4" t="str">
        <f>IF(AND($E187=1,$F187=1),入力シート!$F58,"")&amp;""</f>
        <v/>
      </c>
      <c r="H187" s="12" t="str">
        <f>IFERROR(VLOOKUP($G187,#REF!,3,FALSE),"")</f>
        <v/>
      </c>
      <c r="I187" s="12" t="str">
        <f>IFERROR(VLOOKUP($G187,#REF!,4,FALSE),"")</f>
        <v/>
      </c>
      <c r="J187" s="12" t="str">
        <f>IFERROR(VLOOKUP($G187,#REF!,5,FALSE),"")</f>
        <v/>
      </c>
      <c r="K187" s="12" t="str">
        <f>IFERROR(VLOOKUP($G187,#REF!,6,FALSE),"")</f>
        <v/>
      </c>
      <c r="L187" s="10" t="str">
        <f>IF(AND($E187=1,$F187=1),入力シート!J58,"")&amp;""</f>
        <v/>
      </c>
      <c r="M187" s="10" t="str">
        <f>IF(AND($E187=1,$F187=1),入力シート!N58,"")&amp;""</f>
        <v/>
      </c>
      <c r="N187" s="10" t="str">
        <f>IF(AND($E187=1,$F187=1),入力シート!R58,"")&amp;""</f>
        <v/>
      </c>
      <c r="O187" s="10" t="str">
        <f>IF(AND($E187=1,$F187=1),入力シート!V58,"")&amp;""</f>
        <v/>
      </c>
      <c r="P187" s="4" t="str">
        <f>IFERROR(VLOOKUP($G187,#REF!,10,FALSE),"")</f>
        <v/>
      </c>
      <c r="Q187" s="12" t="str">
        <f>IF(AND($E187=1,$F187=2),TRIM(CLEAN(入力シート!#REF!)),"")&amp;""</f>
        <v/>
      </c>
      <c r="R187" s="12" t="str">
        <f>IF(AND($E187=1,$F187=2),TRIM(CLEAN(入力シート!#REF!)),"")&amp;""</f>
        <v/>
      </c>
      <c r="S187" s="12" t="str">
        <f>IF(AND($E187=1,$F187=2),TRIM(CLEAN(入力シート!#REF!)),"")&amp;""</f>
        <v/>
      </c>
      <c r="T187" s="12" t="str">
        <f>IF(AND($E187=1,$F187=2),TRIM(CLEAN(入力シート!#REF!)),"")&amp;""</f>
        <v/>
      </c>
      <c r="U187" s="10" t="str">
        <f>IF(AND($E187=1,$F187=1),入力シート!H58,"")&amp;""</f>
        <v/>
      </c>
      <c r="V187">
        <v>1</v>
      </c>
      <c r="W187" s="41" t="str">
        <f t="shared" ref="W187:W218" ca="1" si="42">IF(AND(B187&lt;=$G$3,X187&lt;&gt;""),IF(X187="OK",X187,"NG"),"OK")</f>
        <v>OK</v>
      </c>
      <c r="X187" t="str">
        <f ca="1">IF(Y187&lt;&gt;0,OFFSET(Z187,0,Y187),IF(Z187&lt;&gt;0,IF(Z187=-1,AC187,OFFSET(AC187,0,Z187)),$V$1))&amp;""</f>
        <v>コード番号を選択してください。</v>
      </c>
      <c r="Y187">
        <f>IF(AND(F187=0,G187=""),1,0)</f>
        <v>1</v>
      </c>
      <c r="Z187">
        <f>IF(AND(C187=3,OR(Y185&lt;&gt;0,Z185&lt;&gt;0)),1,IF(AND(1&lt;C187,OR(Y186&lt;&gt;0,Z186&lt;&gt;0)),2,IF(AND(F187&lt;&gt;2,G187&lt;&gt;"",L187=""),3,IF(AND(F187=2,0&lt;COUNTIF(Q187:T187,"")),-1,0))))</f>
        <v>0</v>
      </c>
      <c r="AA187" t="str">
        <f>"コード番号を選択してください。"</f>
        <v>コード番号を選択してください。</v>
      </c>
      <c r="AB187" t="str">
        <f t="shared" ref="AB187:AB218" si="43">$G$186&amp;"を選択してください。"</f>
        <v>コード番号を選択してください。</v>
      </c>
      <c r="AC187" t="s">
        <v>179</v>
      </c>
      <c r="AD187" s="18"/>
      <c r="AE187" s="18"/>
      <c r="AF187" t="s">
        <v>180</v>
      </c>
      <c r="AH187">
        <f>IF(AND(E187=1,Y187=0),VALUE(B187&amp;0&amp;C187),9999)</f>
        <v>9999</v>
      </c>
      <c r="AI187">
        <f>SMALL($AH$187:$AH$276,1)</f>
        <v>9999</v>
      </c>
      <c r="AJ187" t="e">
        <f>VLOOKUP(AI187,$D$187:$U$276,18,FALSE)</f>
        <v>#N/A</v>
      </c>
      <c r="AK187" t="str">
        <f>"事業場"&amp;IF(LEN(AI187)=3,LEFT(AI187,1),LEFT(AI187,2))</f>
        <v>事業場99</v>
      </c>
    </row>
    <row r="188" spans="2:37" x14ac:dyDescent="0.2">
      <c r="B188" s="5">
        <v>1</v>
      </c>
      <c r="C188" s="5">
        <v>2</v>
      </c>
      <c r="D188" s="4">
        <v>102</v>
      </c>
      <c r="E188" s="4">
        <v>1</v>
      </c>
      <c r="F188" s="12">
        <f>入力シート!$Y60</f>
        <v>0</v>
      </c>
      <c r="G188" s="4" t="str">
        <f>IF(AND($E188=1,$F188=1),入力シート!$F60,"")&amp;""</f>
        <v/>
      </c>
      <c r="H188" s="12" t="str">
        <f>IFERROR(VLOOKUP($G188,#REF!,3,FALSE),"")</f>
        <v/>
      </c>
      <c r="I188" s="12" t="str">
        <f>IFERROR(VLOOKUP($G188,#REF!,4,FALSE),"")</f>
        <v/>
      </c>
      <c r="J188" s="12" t="str">
        <f>IFERROR(VLOOKUP($G188,#REF!,5,FALSE),"")</f>
        <v/>
      </c>
      <c r="K188" s="12" t="str">
        <f>IFERROR(VLOOKUP($G188,#REF!,6,FALSE),"")</f>
        <v/>
      </c>
      <c r="L188" s="10" t="str">
        <f>IF(AND($E188=1,$F188=1),入力シート!J60,"")&amp;""</f>
        <v/>
      </c>
      <c r="M188" s="10" t="str">
        <f>IF(AND($E188=1,$F188=1),入力シート!N60,"")&amp;""</f>
        <v/>
      </c>
      <c r="N188" s="10" t="str">
        <f>IF(AND($E188=1,$F188=1),入力シート!R60,"")&amp;""</f>
        <v/>
      </c>
      <c r="O188" s="10" t="str">
        <f>IF(AND($E188=1,$F188=1),入力シート!V60,"")&amp;""</f>
        <v/>
      </c>
      <c r="P188" s="4" t="str">
        <f>IFERROR(VLOOKUP($G188,#REF!,10,FALSE),"")</f>
        <v/>
      </c>
      <c r="Q188" s="12" t="str">
        <f>IF(AND($E188=1,$F188=2),TRIM(CLEAN(入力シート!#REF!)),"")&amp;""</f>
        <v/>
      </c>
      <c r="R188" s="12" t="str">
        <f>IF(AND($E188=1,$F188=2),TRIM(CLEAN(入力シート!#REF!)),"")&amp;""</f>
        <v/>
      </c>
      <c r="S188" s="12" t="str">
        <f>IF(AND($E188=1,$F188=2),TRIM(CLEAN(入力シート!#REF!)),"")&amp;""</f>
        <v/>
      </c>
      <c r="T188" s="12" t="str">
        <f>IF(AND($E188=1,$F188=2),TRIM(CLEAN(入力シート!#REF!)),"")&amp;""</f>
        <v/>
      </c>
      <c r="U188" s="10" t="str">
        <f>IF(AND($E188=1,$F188=1),入力シート!H60,"")&amp;""</f>
        <v/>
      </c>
      <c r="W188" s="41" t="str">
        <f t="shared" ca="1" si="42"/>
        <v>OK</v>
      </c>
      <c r="X188" t="str">
        <f ca="1">IF(Y188&lt;&gt;0,OFFSET(Z188,0,Y188),IF(Z188&lt;&gt;0,IF(Z188=-1,AC188,OFFSET(AC188,0,Z188)),$V$1))&amp;""</f>
        <v/>
      </c>
      <c r="Y188">
        <f t="shared" ref="Y188:Y251" si="44">IF(AND(F188=0,G188=""),1,0)</f>
        <v>1</v>
      </c>
      <c r="Z188">
        <f>IF(AND(C188=3,OR(Y186&lt;&gt;0,Z186&lt;&gt;0)),1,IF(AND(1&lt;C188,OR(Y187&lt;&gt;0,Z187&lt;&gt;0)),2,IF(AND(F188&lt;&gt;2,G188&lt;&gt;"",L188=""),3,IF(AND(F188=2,0&lt;COUNTIF(Q188:T188,"")),-1,0))))</f>
        <v>2</v>
      </c>
      <c r="AA188" s="18"/>
      <c r="AB188" t="str">
        <f t="shared" si="43"/>
        <v>コード番号を選択してください。</v>
      </c>
      <c r="AC188" t="s">
        <v>179</v>
      </c>
      <c r="AD188" s="18"/>
      <c r="AE188" t="str">
        <f>C187&amp;"つ目の研修が入力されていません。"&amp;CHAR(10)&amp;"詰めて入力してください。"</f>
        <v>1つ目の研修が入力されていません。
詰めて入力してください。</v>
      </c>
      <c r="AF188" t="s">
        <v>180</v>
      </c>
      <c r="AH188">
        <f t="shared" ref="AH188:AH251" si="45">IF(AND(E188=1,Y188=0),VALUE(B188&amp;0&amp;C188),9999)</f>
        <v>9999</v>
      </c>
      <c r="AI188">
        <f>SMALL($AH$187:$AH$276,2)</f>
        <v>9999</v>
      </c>
      <c r="AJ188" t="e">
        <f t="shared" ref="AJ188:AJ251" si="46">VLOOKUP(AI188,$D$187:$U$276,18,FALSE)</f>
        <v>#N/A</v>
      </c>
      <c r="AK188" t="str">
        <f t="shared" ref="AK188:AK251" si="47">"事業場"&amp;IF(LEN(AI188)=3,LEFT(AI188,1),LEFT(AI188,2))</f>
        <v>事業場99</v>
      </c>
    </row>
    <row r="189" spans="2:37" x14ac:dyDescent="0.2">
      <c r="B189" s="5">
        <v>1</v>
      </c>
      <c r="C189" s="5">
        <v>3</v>
      </c>
      <c r="D189" s="4">
        <v>103</v>
      </c>
      <c r="E189" s="4">
        <v>1</v>
      </c>
      <c r="F189" s="12">
        <f>入力シート!$Y62</f>
        <v>0</v>
      </c>
      <c r="G189" s="4" t="str">
        <f>IF(AND($E189=1,$F189=1),入力シート!$F62,"")&amp;""</f>
        <v/>
      </c>
      <c r="H189" s="12" t="str">
        <f>IFERROR(VLOOKUP($G189,#REF!,3,FALSE),"")</f>
        <v/>
      </c>
      <c r="I189" s="12" t="str">
        <f>IFERROR(VLOOKUP($G189,#REF!,4,FALSE),"")</f>
        <v/>
      </c>
      <c r="J189" s="12" t="str">
        <f>IFERROR(VLOOKUP($G189,#REF!,5,FALSE),"")</f>
        <v/>
      </c>
      <c r="K189" s="12" t="str">
        <f>IFERROR(VLOOKUP($G189,#REF!,6,FALSE),"")</f>
        <v/>
      </c>
      <c r="L189" s="10" t="str">
        <f>IF(AND($E189=1,$F189=1),入力シート!J62,"")&amp;""</f>
        <v/>
      </c>
      <c r="M189" s="10" t="str">
        <f>IF(AND($E189=1,$F189=1),入力シート!N62,"")&amp;""</f>
        <v/>
      </c>
      <c r="N189" s="10" t="str">
        <f>IF(AND($E189=1,$F189=1),入力シート!R62,"")&amp;""</f>
        <v/>
      </c>
      <c r="O189" s="10" t="str">
        <f>IF(AND($E189=1,$F189=1),入力シート!V62,"")&amp;""</f>
        <v/>
      </c>
      <c r="P189" s="4" t="str">
        <f>IFERROR(VLOOKUP($G189,#REF!,10,FALSE),"")</f>
        <v/>
      </c>
      <c r="Q189" s="12" t="str">
        <f>IF(AND($E189=1,$F189=2),TRIM(CLEAN(入力シート!#REF!)),"")&amp;""</f>
        <v/>
      </c>
      <c r="R189" s="12" t="str">
        <f>IF(AND($E189=1,$F189=2),TRIM(CLEAN(入力シート!#REF!)),"")&amp;""</f>
        <v/>
      </c>
      <c r="S189" s="12" t="str">
        <f>IF(AND($E189=1,$F189=2),TRIM(CLEAN(入力シート!#REF!)),"")&amp;""</f>
        <v/>
      </c>
      <c r="T189" s="12" t="str">
        <f>IF(AND($E189=1,$F189=2),TRIM(CLEAN(入力シート!#REF!)),"")&amp;""</f>
        <v/>
      </c>
      <c r="U189" s="10" t="str">
        <f>IF(AND($E189=1,$F189=1),入力シート!H62,"")&amp;""</f>
        <v/>
      </c>
      <c r="W189" s="41" t="str">
        <f t="shared" ca="1" si="42"/>
        <v>OK</v>
      </c>
      <c r="X189" t="str">
        <f t="shared" ref="X189:X251" ca="1" si="48">IF(Y189&lt;&gt;0,OFFSET(Z189,0,Y189),IF(Z189&lt;&gt;0,IF(Z189=-1,AC189,OFFSET(AC189,0,Z189)),$V$1))&amp;""</f>
        <v/>
      </c>
      <c r="Y189">
        <f t="shared" si="44"/>
        <v>1</v>
      </c>
      <c r="Z189">
        <f>IF(AND(C189=3,OR(Y187&lt;&gt;0,Z187&lt;&gt;0)),1,IF(AND(1&lt;C189,OR(Y188&lt;&gt;0,Z188&lt;&gt;0)),2,IF(AND(F189&lt;&gt;2,G189&lt;&gt;"",L189=""),3,IF(AND(F189=2,0&lt;COUNTIF(Q189:T189,"")),-1,0))))</f>
        <v>1</v>
      </c>
      <c r="AA189" s="18"/>
      <c r="AB189" t="str">
        <f t="shared" si="43"/>
        <v>コード番号を選択してください。</v>
      </c>
      <c r="AC189" t="s">
        <v>179</v>
      </c>
      <c r="AD189" t="str">
        <f t="shared" ref="AD189" si="49">AE188</f>
        <v>1つ目の研修が入力されていません。
詰めて入力してください。</v>
      </c>
      <c r="AE189" t="str">
        <f>C188&amp;"つ目の研修が入力されていません。"&amp;CHAR(10)&amp;"詰めて入力してください。"</f>
        <v>2つ目の研修が入力されていません。
詰めて入力してください。</v>
      </c>
      <c r="AF189" t="s">
        <v>180</v>
      </c>
      <c r="AH189">
        <f t="shared" si="45"/>
        <v>9999</v>
      </c>
      <c r="AI189">
        <f>SMALL($AH$187:$AH$276,3)</f>
        <v>9999</v>
      </c>
      <c r="AJ189" t="e">
        <f t="shared" si="46"/>
        <v>#N/A</v>
      </c>
      <c r="AK189" t="str">
        <f t="shared" si="47"/>
        <v>事業場99</v>
      </c>
    </row>
    <row r="190" spans="2:37" x14ac:dyDescent="0.2">
      <c r="B190" s="5">
        <v>2</v>
      </c>
      <c r="C190" s="5">
        <v>1</v>
      </c>
      <c r="D190" s="4">
        <v>201</v>
      </c>
      <c r="E190" s="4">
        <f t="shared" ref="E190:E221" si="50">IF(AND(B284&lt;=$G$3),1,0)</f>
        <v>0</v>
      </c>
      <c r="F190" s="12">
        <f>'入力シート（2事業場以降）'!AQ102</f>
        <v>0</v>
      </c>
      <c r="G190" s="4" t="str">
        <f>IF(AND($E190=1,$F190=1),'入力シート（2事業場以降）'!F102,"")&amp;""</f>
        <v/>
      </c>
      <c r="H190" s="12" t="str">
        <f>IFERROR(VLOOKUP($G190,#REF!,3,FALSE),"")</f>
        <v/>
      </c>
      <c r="I190" s="12" t="str">
        <f>IFERROR(VLOOKUP($G190,#REF!,4,FALSE),"")</f>
        <v/>
      </c>
      <c r="J190" s="12" t="str">
        <f>IFERROR(VLOOKUP($G190,#REF!,5,FALSE),"")</f>
        <v/>
      </c>
      <c r="K190" s="12" t="str">
        <f>IFERROR(VLOOKUP($G190,#REF!,6,FALSE),"")</f>
        <v/>
      </c>
      <c r="L190" s="4" t="str">
        <f>IF(AND($E190=1,$F190=1),'入力シート（2事業場以降）'!J102,"")&amp;""</f>
        <v/>
      </c>
      <c r="M190" s="4" t="str">
        <f>IF(AND($E190=1,$F190=1),'入力シート（2事業場以降）'!N102,"")&amp;""</f>
        <v/>
      </c>
      <c r="N190" s="4" t="str">
        <f>IF(AND($E190=1,$F190=1),'入力シート（2事業場以降）'!R102,"")&amp;""</f>
        <v/>
      </c>
      <c r="O190" s="4" t="str">
        <f>IF(AND($E190=1,$F190=1),'入力シート（2事業場以降）'!V102,"")&amp;""</f>
        <v/>
      </c>
      <c r="P190" s="4" t="str">
        <f>IFERROR(VLOOKUP($G190,#REF!,10,FALSE),"")</f>
        <v/>
      </c>
      <c r="Q190" s="12" t="str">
        <f>IF(AND($E190=1,$F190=2),TRIM(CLEAN('入力シート（2事業場以降）'!#REF!)),"")&amp;""</f>
        <v/>
      </c>
      <c r="R190" s="12" t="str">
        <f>IF(AND($E190=1,$F190=2),TRIM(CLEAN('入力シート（2事業場以降）'!#REF!)),"")&amp;""</f>
        <v/>
      </c>
      <c r="S190" s="12" t="str">
        <f>IF(AND($E190=1,$F190=2),TRIM(CLEAN('入力シート（2事業場以降）'!#REF!)),"")&amp;""</f>
        <v/>
      </c>
      <c r="T190" s="12" t="str">
        <f>IF(AND($E190=1,$F190=2),TRIM(CLEAN('入力シート（2事業場以降）'!#REF!)),"")&amp;""</f>
        <v/>
      </c>
      <c r="U190" s="10" t="str">
        <f>IF(AND($E190=1,$F190=1),'入力シート（2事業場以降）'!H102,"")&amp;""</f>
        <v/>
      </c>
      <c r="V190">
        <v>2</v>
      </c>
      <c r="W190" s="41" t="str">
        <f t="shared" ca="1" si="42"/>
        <v>OK</v>
      </c>
      <c r="X190" t="str">
        <f t="shared" ca="1" si="48"/>
        <v>コード番号を選択してください。</v>
      </c>
      <c r="Y190">
        <f t="shared" si="44"/>
        <v>1</v>
      </c>
      <c r="Z190">
        <f t="shared" ref="Z190:Z253" si="51">IF(AND(C190=3,OR(Y188&lt;&gt;0,Z188&lt;&gt;0)),1,IF(AND(1&lt;C190,OR(Y189&lt;&gt;0,Z189&lt;&gt;0)),2,IF(AND(F190&lt;&gt;2,G190&lt;&gt;"",L190=""),3,IF(AND(F190=2,0&lt;COUNTIF(Q190:T190,"")),-1,0))))</f>
        <v>0</v>
      </c>
      <c r="AA190" t="str">
        <f>"コード番号を選択してください。"</f>
        <v>コード番号を選択してください。</v>
      </c>
      <c r="AB190" t="str">
        <f t="shared" si="43"/>
        <v>コード番号を選択してください。</v>
      </c>
      <c r="AC190" t="s">
        <v>179</v>
      </c>
      <c r="AD190" s="18"/>
      <c r="AE190" s="18"/>
      <c r="AF190" t="s">
        <v>180</v>
      </c>
      <c r="AH190">
        <f t="shared" si="45"/>
        <v>9999</v>
      </c>
      <c r="AI190">
        <f>SMALL($AH$187:$AH$276,4)</f>
        <v>9999</v>
      </c>
      <c r="AJ190" t="e">
        <f t="shared" si="46"/>
        <v>#N/A</v>
      </c>
      <c r="AK190" t="str">
        <f t="shared" si="47"/>
        <v>事業場99</v>
      </c>
    </row>
    <row r="191" spans="2:37" x14ac:dyDescent="0.2">
      <c r="B191" s="5">
        <v>2</v>
      </c>
      <c r="C191" s="5">
        <v>2</v>
      </c>
      <c r="D191" s="4">
        <v>202</v>
      </c>
      <c r="E191" s="4">
        <f t="shared" si="50"/>
        <v>0</v>
      </c>
      <c r="F191" s="12">
        <f>'入力シート（2事業場以降）'!AQ104</f>
        <v>0</v>
      </c>
      <c r="G191" s="4" t="str">
        <f>IF(AND($E191=1,$F191=1),'入力シート（2事業場以降）'!F104,"")&amp;""</f>
        <v/>
      </c>
      <c r="H191" s="12" t="str">
        <f>IFERROR(VLOOKUP($G191,#REF!,3,FALSE),"")</f>
        <v/>
      </c>
      <c r="I191" s="12" t="str">
        <f>IFERROR(VLOOKUP($G191,#REF!,4,FALSE),"")</f>
        <v/>
      </c>
      <c r="J191" s="12" t="str">
        <f>IFERROR(VLOOKUP($G191,#REF!,5,FALSE),"")</f>
        <v/>
      </c>
      <c r="K191" s="12" t="str">
        <f>IFERROR(VLOOKUP($G191,#REF!,6,FALSE),"")</f>
        <v/>
      </c>
      <c r="L191" s="4" t="str">
        <f>IF(AND($E191=1,$F191=1),'入力シート（2事業場以降）'!J104,"")&amp;""</f>
        <v/>
      </c>
      <c r="M191" s="4" t="str">
        <f>IF(AND($E191=1,$F191=1),'入力シート（2事業場以降）'!N104,"")&amp;""</f>
        <v/>
      </c>
      <c r="N191" s="4" t="str">
        <f>IF(AND($E191=1,$F191=1),'入力シート（2事業場以降）'!R104,"")&amp;""</f>
        <v/>
      </c>
      <c r="O191" s="4" t="str">
        <f>IF(AND($E191=1,$F191=1),'入力シート（2事業場以降）'!V104,"")&amp;""</f>
        <v/>
      </c>
      <c r="P191" s="4" t="str">
        <f>IFERROR(VLOOKUP($G191,#REF!,10,FALSE),"")</f>
        <v/>
      </c>
      <c r="Q191" s="12" t="str">
        <f>IF(AND($E191=1,$F191=2),TRIM(CLEAN('入力シート（2事業場以降）'!#REF!)),"")&amp;""</f>
        <v/>
      </c>
      <c r="R191" s="12" t="str">
        <f>IF(AND($E191=1,$F191=2),TRIM(CLEAN('入力シート（2事業場以降）'!#REF!)),"")&amp;""</f>
        <v/>
      </c>
      <c r="S191" s="12" t="str">
        <f>IF(AND($E191=1,$F191=2),TRIM(CLEAN('入力シート（2事業場以降）'!#REF!)),"")&amp;""</f>
        <v/>
      </c>
      <c r="T191" s="12" t="str">
        <f>IF(AND($E191=1,$F191=2),TRIM(CLEAN('入力シート（2事業場以降）'!#REF!)),"")&amp;""</f>
        <v/>
      </c>
      <c r="U191" s="10" t="str">
        <f>IF(AND($E191=1,$F191=1),'入力シート（2事業場以降）'!H104,"")&amp;""</f>
        <v/>
      </c>
      <c r="W191" s="41" t="str">
        <f t="shared" ca="1" si="42"/>
        <v>OK</v>
      </c>
      <c r="X191" t="str">
        <f t="shared" ca="1" si="48"/>
        <v/>
      </c>
      <c r="Y191">
        <f t="shared" si="44"/>
        <v>1</v>
      </c>
      <c r="Z191">
        <f t="shared" si="51"/>
        <v>2</v>
      </c>
      <c r="AA191" s="18"/>
      <c r="AB191" t="str">
        <f t="shared" si="43"/>
        <v>コード番号を選択してください。</v>
      </c>
      <c r="AC191" t="s">
        <v>179</v>
      </c>
      <c r="AD191" s="18"/>
      <c r="AE191" t="str">
        <f>C190&amp;"つ目の研修が入力されていません。"&amp;CHAR(10)&amp;"詰めて入力してください。"</f>
        <v>1つ目の研修が入力されていません。
詰めて入力してください。</v>
      </c>
      <c r="AF191" t="s">
        <v>180</v>
      </c>
      <c r="AH191">
        <f t="shared" si="45"/>
        <v>9999</v>
      </c>
      <c r="AI191">
        <f>SMALL($AH$187:$AH$276,5)</f>
        <v>9999</v>
      </c>
      <c r="AJ191" t="e">
        <f t="shared" si="46"/>
        <v>#N/A</v>
      </c>
      <c r="AK191" t="str">
        <f t="shared" si="47"/>
        <v>事業場99</v>
      </c>
    </row>
    <row r="192" spans="2:37" x14ac:dyDescent="0.2">
      <c r="B192" s="5">
        <v>2</v>
      </c>
      <c r="C192" s="5">
        <v>3</v>
      </c>
      <c r="D192" s="4">
        <v>203</v>
      </c>
      <c r="E192" s="4">
        <f t="shared" si="50"/>
        <v>0</v>
      </c>
      <c r="F192" s="12">
        <f>'入力シート（2事業場以降）'!AQ106</f>
        <v>0</v>
      </c>
      <c r="G192" s="4" t="str">
        <f>IF(AND($E192=1,$F192=1),'入力シート（2事業場以降）'!F106,"")&amp;""</f>
        <v/>
      </c>
      <c r="H192" s="12" t="str">
        <f>IFERROR(VLOOKUP($G192,#REF!,3,FALSE),"")</f>
        <v/>
      </c>
      <c r="I192" s="12" t="str">
        <f>IFERROR(VLOOKUP($G192,#REF!,4,FALSE),"")</f>
        <v/>
      </c>
      <c r="J192" s="12" t="str">
        <f>IFERROR(VLOOKUP($G192,#REF!,5,FALSE),"")</f>
        <v/>
      </c>
      <c r="K192" s="12" t="str">
        <f>IFERROR(VLOOKUP($G192,#REF!,6,FALSE),"")</f>
        <v/>
      </c>
      <c r="L192" s="4" t="str">
        <f>IF(AND($E192=1,$F192=1),'入力シート（2事業場以降）'!J106,"")&amp;""</f>
        <v/>
      </c>
      <c r="M192" s="4" t="str">
        <f>IF(AND($E192=1,$F192=1),'入力シート（2事業場以降）'!N106,"")&amp;""</f>
        <v/>
      </c>
      <c r="N192" s="4" t="str">
        <f>IF(AND($E192=1,$F192=1),'入力シート（2事業場以降）'!R106,"")&amp;""</f>
        <v/>
      </c>
      <c r="O192" s="4" t="str">
        <f>IF(AND($E192=1,$F192=1),'入力シート（2事業場以降）'!V106,"")&amp;""</f>
        <v/>
      </c>
      <c r="P192" s="4" t="str">
        <f>IFERROR(VLOOKUP($G192,#REF!,10,FALSE),"")</f>
        <v/>
      </c>
      <c r="Q192" s="12" t="str">
        <f>IF(AND($E192=1,$F192=2),TRIM(CLEAN('入力シート（2事業場以降）'!#REF!)),"")&amp;""</f>
        <v/>
      </c>
      <c r="R192" s="12" t="str">
        <f>IF(AND($E192=1,$F192=2),TRIM(CLEAN('入力シート（2事業場以降）'!#REF!)),"")&amp;""</f>
        <v/>
      </c>
      <c r="S192" s="12" t="str">
        <f>IF(AND($E192=1,$F192=2),TRIM(CLEAN('入力シート（2事業場以降）'!#REF!)),"")&amp;""</f>
        <v/>
      </c>
      <c r="T192" s="12" t="str">
        <f>IF(AND($E192=1,$F192=2),TRIM(CLEAN('入力シート（2事業場以降）'!#REF!)),"")&amp;""</f>
        <v/>
      </c>
      <c r="U192" s="10" t="str">
        <f>IF(AND($E192=1,$F192=1),'入力シート（2事業場以降）'!H106,"")&amp;""</f>
        <v/>
      </c>
      <c r="W192" s="41" t="str">
        <f t="shared" ca="1" si="42"/>
        <v>OK</v>
      </c>
      <c r="X192" t="str">
        <f t="shared" ca="1" si="48"/>
        <v/>
      </c>
      <c r="Y192">
        <f t="shared" si="44"/>
        <v>1</v>
      </c>
      <c r="Z192">
        <f t="shared" si="51"/>
        <v>1</v>
      </c>
      <c r="AA192" s="18"/>
      <c r="AB192" t="str">
        <f t="shared" si="43"/>
        <v>コード番号を選択してください。</v>
      </c>
      <c r="AC192" t="s">
        <v>179</v>
      </c>
      <c r="AD192" t="str">
        <f t="shared" ref="AD192" si="52">AE191</f>
        <v>1つ目の研修が入力されていません。
詰めて入力してください。</v>
      </c>
      <c r="AE192" t="str">
        <f>C191&amp;"つ目の研修が入力されていません。"&amp;CHAR(10)&amp;"詰めて入力してください。"</f>
        <v>2つ目の研修が入力されていません。
詰めて入力してください。</v>
      </c>
      <c r="AF192" t="s">
        <v>180</v>
      </c>
      <c r="AH192">
        <f t="shared" si="45"/>
        <v>9999</v>
      </c>
      <c r="AI192">
        <f>SMALL($AH$187:$AH$276,6)</f>
        <v>9999</v>
      </c>
      <c r="AJ192" t="e">
        <f t="shared" si="46"/>
        <v>#N/A</v>
      </c>
      <c r="AK192" t="str">
        <f t="shared" si="47"/>
        <v>事業場99</v>
      </c>
    </row>
    <row r="193" spans="2:37" x14ac:dyDescent="0.2">
      <c r="B193" s="5">
        <v>3</v>
      </c>
      <c r="C193" s="5">
        <v>1</v>
      </c>
      <c r="D193" s="4">
        <v>301</v>
      </c>
      <c r="E193" s="4">
        <f t="shared" si="50"/>
        <v>0</v>
      </c>
      <c r="F193" s="12">
        <f>'入力シート（2事業場以降）'!AQ109</f>
        <v>0</v>
      </c>
      <c r="G193" s="4" t="str">
        <f>IF(AND($E193=1,$F193=1),'入力シート（2事業場以降）'!F109,"")&amp;""</f>
        <v/>
      </c>
      <c r="H193" s="12" t="str">
        <f>IFERROR(VLOOKUP($G193,#REF!,3,FALSE),"")</f>
        <v/>
      </c>
      <c r="I193" s="12" t="str">
        <f>IFERROR(VLOOKUP($G193,#REF!,4,FALSE),"")</f>
        <v/>
      </c>
      <c r="J193" s="12" t="str">
        <f>IFERROR(VLOOKUP($G193,#REF!,5,FALSE),"")</f>
        <v/>
      </c>
      <c r="K193" s="12" t="str">
        <f>IFERROR(VLOOKUP($G193,#REF!,6,FALSE),"")</f>
        <v/>
      </c>
      <c r="L193" s="4" t="str">
        <f>IF(AND($E193=1,$F193=1),'入力シート（2事業場以降）'!J109,"")&amp;""</f>
        <v/>
      </c>
      <c r="M193" s="4" t="str">
        <f>IF(AND($E193=1,$F193=1),'入力シート（2事業場以降）'!N109,"")&amp;""</f>
        <v/>
      </c>
      <c r="N193" s="4" t="str">
        <f>IF(AND($E193=1,$F193=1),'入力シート（2事業場以降）'!R109,"")&amp;""</f>
        <v/>
      </c>
      <c r="O193" s="4" t="str">
        <f>IF(AND($E193=1,$F193=1),'入力シート（2事業場以降）'!V109,"")&amp;""</f>
        <v/>
      </c>
      <c r="P193" s="4" t="str">
        <f>IFERROR(VLOOKUP($G193,#REF!,10,FALSE),"")</f>
        <v/>
      </c>
      <c r="Q193" s="12" t="str">
        <f>IF(AND($E193=1,$F193=2),TRIM(CLEAN('入力シート（2事業場以降）'!#REF!)),"")&amp;""</f>
        <v/>
      </c>
      <c r="R193" s="12" t="str">
        <f>IF(AND($E193=1,$F193=2),TRIM(CLEAN('入力シート（2事業場以降）'!#REF!)),"")&amp;""</f>
        <v/>
      </c>
      <c r="S193" s="12" t="str">
        <f>IF(AND($E193=1,$F193=2),TRIM(CLEAN('入力シート（2事業場以降）'!#REF!)),"")&amp;""</f>
        <v/>
      </c>
      <c r="T193" s="12" t="str">
        <f>IF(AND($E193=1,$F193=2),TRIM(CLEAN('入力シート（2事業場以降）'!#REF!)),"")&amp;""</f>
        <v/>
      </c>
      <c r="U193" s="10" t="str">
        <f>IF(AND($E193=1,$F193=1),'入力シート（2事業場以降）'!H109,"")&amp;""</f>
        <v/>
      </c>
      <c r="V193">
        <v>3</v>
      </c>
      <c r="W193" s="41" t="str">
        <f t="shared" ca="1" si="42"/>
        <v>OK</v>
      </c>
      <c r="X193" t="str">
        <f t="shared" ca="1" si="48"/>
        <v>コード番号を選択してください。</v>
      </c>
      <c r="Y193">
        <f t="shared" si="44"/>
        <v>1</v>
      </c>
      <c r="Z193">
        <f t="shared" si="51"/>
        <v>0</v>
      </c>
      <c r="AA193" t="str">
        <f>"コード番号を選択してください。"</f>
        <v>コード番号を選択してください。</v>
      </c>
      <c r="AB193" t="str">
        <f t="shared" si="43"/>
        <v>コード番号を選択してください。</v>
      </c>
      <c r="AC193" t="s">
        <v>179</v>
      </c>
      <c r="AD193" s="18"/>
      <c r="AE193" s="18"/>
      <c r="AF193" t="s">
        <v>180</v>
      </c>
      <c r="AH193">
        <f t="shared" si="45"/>
        <v>9999</v>
      </c>
      <c r="AI193">
        <f>SMALL($AH$187:$AH$276,7)</f>
        <v>9999</v>
      </c>
      <c r="AJ193" t="e">
        <f t="shared" si="46"/>
        <v>#N/A</v>
      </c>
      <c r="AK193" t="str">
        <f t="shared" si="47"/>
        <v>事業場99</v>
      </c>
    </row>
    <row r="194" spans="2:37" x14ac:dyDescent="0.2">
      <c r="B194" s="5">
        <v>3</v>
      </c>
      <c r="C194" s="5">
        <v>2</v>
      </c>
      <c r="D194" s="4">
        <v>302</v>
      </c>
      <c r="E194" s="4">
        <f t="shared" si="50"/>
        <v>0</v>
      </c>
      <c r="F194" s="12">
        <f>'入力シート（2事業場以降）'!AQ111</f>
        <v>0</v>
      </c>
      <c r="G194" s="4" t="str">
        <f>IF(AND($E194=1,$F194=1),'入力シート（2事業場以降）'!F111,"")&amp;""</f>
        <v/>
      </c>
      <c r="H194" s="12" t="str">
        <f>IFERROR(VLOOKUP($G194,#REF!,3,FALSE),"")</f>
        <v/>
      </c>
      <c r="I194" s="12" t="str">
        <f>IFERROR(VLOOKUP($G194,#REF!,4,FALSE),"")</f>
        <v/>
      </c>
      <c r="J194" s="12" t="str">
        <f>IFERROR(VLOOKUP($G194,#REF!,5,FALSE),"")</f>
        <v/>
      </c>
      <c r="K194" s="12" t="str">
        <f>IFERROR(VLOOKUP($G194,#REF!,6,FALSE),"")</f>
        <v/>
      </c>
      <c r="L194" s="4" t="str">
        <f>IF(AND($E194=1,$F194=1),'入力シート（2事業場以降）'!J111,"")&amp;""</f>
        <v/>
      </c>
      <c r="M194" s="4" t="str">
        <f>IF(AND($E194=1,$F194=1),'入力シート（2事業場以降）'!N111,"")&amp;""</f>
        <v/>
      </c>
      <c r="N194" s="4" t="str">
        <f>IF(AND($E194=1,$F194=1),'入力シート（2事業場以降）'!R111,"")&amp;""</f>
        <v/>
      </c>
      <c r="O194" s="4" t="str">
        <f>IF(AND($E194=1,$F194=1),'入力シート（2事業場以降）'!V111,"")&amp;""</f>
        <v/>
      </c>
      <c r="P194" s="4" t="str">
        <f>IFERROR(VLOOKUP($G194,#REF!,10,FALSE),"")</f>
        <v/>
      </c>
      <c r="Q194" s="12" t="str">
        <f>IF(AND($E194=1,$F194=2),TRIM(CLEAN('入力シート（2事業場以降）'!#REF!)),"")&amp;""</f>
        <v/>
      </c>
      <c r="R194" s="12" t="str">
        <f>IF(AND($E194=1,$F194=2),TRIM(CLEAN('入力シート（2事業場以降）'!#REF!)),"")&amp;""</f>
        <v/>
      </c>
      <c r="S194" s="12" t="str">
        <f>IF(AND($E194=1,$F194=2),TRIM(CLEAN('入力シート（2事業場以降）'!#REF!)),"")&amp;""</f>
        <v/>
      </c>
      <c r="T194" s="12" t="str">
        <f>IF(AND($E194=1,$F194=2),TRIM(CLEAN('入力シート（2事業場以降）'!#REF!)),"")&amp;""</f>
        <v/>
      </c>
      <c r="U194" s="10" t="str">
        <f>IF(AND($E194=1,$F194=1),'入力シート（2事業場以降）'!H111,"")&amp;""</f>
        <v/>
      </c>
      <c r="W194" s="41" t="str">
        <f t="shared" ca="1" si="42"/>
        <v>OK</v>
      </c>
      <c r="X194" t="str">
        <f t="shared" ca="1" si="48"/>
        <v/>
      </c>
      <c r="Y194">
        <f t="shared" si="44"/>
        <v>1</v>
      </c>
      <c r="Z194">
        <f t="shared" si="51"/>
        <v>2</v>
      </c>
      <c r="AA194" s="18"/>
      <c r="AB194" t="str">
        <f t="shared" si="43"/>
        <v>コード番号を選択してください。</v>
      </c>
      <c r="AC194" t="s">
        <v>179</v>
      </c>
      <c r="AD194" s="18"/>
      <c r="AE194" t="str">
        <f>C193&amp;"つ目の研修が入力されていません。"&amp;CHAR(10)&amp;"詰めて入力してください。"</f>
        <v>1つ目の研修が入力されていません。
詰めて入力してください。</v>
      </c>
      <c r="AF194" t="s">
        <v>180</v>
      </c>
      <c r="AH194">
        <f t="shared" si="45"/>
        <v>9999</v>
      </c>
      <c r="AI194">
        <f>SMALL($AH$187:$AH$276,8)</f>
        <v>9999</v>
      </c>
      <c r="AJ194" t="e">
        <f t="shared" si="46"/>
        <v>#N/A</v>
      </c>
      <c r="AK194" t="str">
        <f t="shared" si="47"/>
        <v>事業場99</v>
      </c>
    </row>
    <row r="195" spans="2:37" x14ac:dyDescent="0.2">
      <c r="B195" s="5">
        <v>3</v>
      </c>
      <c r="C195" s="5">
        <v>3</v>
      </c>
      <c r="D195" s="4">
        <v>303</v>
      </c>
      <c r="E195" s="4">
        <f t="shared" si="50"/>
        <v>0</v>
      </c>
      <c r="F195" s="12">
        <f>'入力シート（2事業場以降）'!AQ113</f>
        <v>0</v>
      </c>
      <c r="G195" s="4" t="str">
        <f>IF(AND($E195=1,$F195=1),'入力シート（2事業場以降）'!F113,"")&amp;""</f>
        <v/>
      </c>
      <c r="H195" s="12" t="str">
        <f>IFERROR(VLOOKUP($G195,#REF!,3,FALSE),"")</f>
        <v/>
      </c>
      <c r="I195" s="12" t="str">
        <f>IFERROR(VLOOKUP($G195,#REF!,4,FALSE),"")</f>
        <v/>
      </c>
      <c r="J195" s="12" t="str">
        <f>IFERROR(VLOOKUP($G195,#REF!,5,FALSE),"")</f>
        <v/>
      </c>
      <c r="K195" s="12" t="str">
        <f>IFERROR(VLOOKUP($G195,#REF!,6,FALSE),"")</f>
        <v/>
      </c>
      <c r="L195" s="4" t="str">
        <f>IF(AND($E195=1,$F195=1),'入力シート（2事業場以降）'!J113,"")&amp;""</f>
        <v/>
      </c>
      <c r="M195" s="4" t="str">
        <f>IF(AND($E195=1,$F195=1),'入力シート（2事業場以降）'!N113,"")&amp;""</f>
        <v/>
      </c>
      <c r="N195" s="4" t="str">
        <f>IF(AND($E195=1,$F195=1),'入力シート（2事業場以降）'!R113,"")&amp;""</f>
        <v/>
      </c>
      <c r="O195" s="4" t="str">
        <f>IF(AND($E195=1,$F195=1),'入力シート（2事業場以降）'!V113,"")&amp;""</f>
        <v/>
      </c>
      <c r="P195" s="4" t="str">
        <f>IFERROR(VLOOKUP($G195,#REF!,10,FALSE),"")</f>
        <v/>
      </c>
      <c r="Q195" s="12" t="str">
        <f>IF(AND($E195=1,$F195=2),TRIM(CLEAN('入力シート（2事業場以降）'!#REF!)),"")&amp;""</f>
        <v/>
      </c>
      <c r="R195" s="12" t="str">
        <f>IF(AND($E195=1,$F195=2),TRIM(CLEAN('入力シート（2事業場以降）'!#REF!)),"")&amp;""</f>
        <v/>
      </c>
      <c r="S195" s="12" t="str">
        <f>IF(AND($E195=1,$F195=2),TRIM(CLEAN('入力シート（2事業場以降）'!#REF!)),"")&amp;""</f>
        <v/>
      </c>
      <c r="T195" s="12" t="str">
        <f>IF(AND($E195=1,$F195=2),TRIM(CLEAN('入力シート（2事業場以降）'!#REF!)),"")&amp;""</f>
        <v/>
      </c>
      <c r="U195" s="10" t="str">
        <f>IF(AND($E195=1,$F195=1),'入力シート（2事業場以降）'!H113,"")&amp;""</f>
        <v/>
      </c>
      <c r="W195" s="41" t="str">
        <f t="shared" ca="1" si="42"/>
        <v>OK</v>
      </c>
      <c r="X195" t="str">
        <f t="shared" ca="1" si="48"/>
        <v/>
      </c>
      <c r="Y195">
        <f t="shared" si="44"/>
        <v>1</v>
      </c>
      <c r="Z195">
        <f t="shared" si="51"/>
        <v>1</v>
      </c>
      <c r="AA195" s="18"/>
      <c r="AB195" t="str">
        <f t="shared" si="43"/>
        <v>コード番号を選択してください。</v>
      </c>
      <c r="AC195" t="s">
        <v>179</v>
      </c>
      <c r="AD195" t="str">
        <f t="shared" ref="AD195" si="53">AE194</f>
        <v>1つ目の研修が入力されていません。
詰めて入力してください。</v>
      </c>
      <c r="AE195" t="str">
        <f>C194&amp;"つ目の研修が入力されていません。"&amp;CHAR(10)&amp;"詰めて入力してください。"</f>
        <v>2つ目の研修が入力されていません。
詰めて入力してください。</v>
      </c>
      <c r="AF195" t="s">
        <v>180</v>
      </c>
      <c r="AH195">
        <f t="shared" si="45"/>
        <v>9999</v>
      </c>
      <c r="AI195">
        <f>SMALL($AH$187:$AH$276,9)</f>
        <v>9999</v>
      </c>
      <c r="AJ195" t="e">
        <f t="shared" si="46"/>
        <v>#N/A</v>
      </c>
      <c r="AK195" t="str">
        <f t="shared" si="47"/>
        <v>事業場99</v>
      </c>
    </row>
    <row r="196" spans="2:37" x14ac:dyDescent="0.2">
      <c r="B196" s="5">
        <v>4</v>
      </c>
      <c r="C196" s="5">
        <v>1</v>
      </c>
      <c r="D196" s="4">
        <v>401</v>
      </c>
      <c r="E196" s="4">
        <f t="shared" si="50"/>
        <v>0</v>
      </c>
      <c r="F196" s="12">
        <f>'入力シート（2事業場以降）'!AQ116</f>
        <v>0</v>
      </c>
      <c r="G196" s="4" t="str">
        <f>IF(AND($E196=1,$F196=1),'入力シート（2事業場以降）'!F116,"")&amp;""</f>
        <v/>
      </c>
      <c r="H196" s="12" t="str">
        <f>IFERROR(VLOOKUP($G196,#REF!,3,FALSE),"")</f>
        <v/>
      </c>
      <c r="I196" s="12" t="str">
        <f>IFERROR(VLOOKUP($G196,#REF!,4,FALSE),"")</f>
        <v/>
      </c>
      <c r="J196" s="12" t="str">
        <f>IFERROR(VLOOKUP($G196,#REF!,5,FALSE),"")</f>
        <v/>
      </c>
      <c r="K196" s="12" t="str">
        <f>IFERROR(VLOOKUP($G196,#REF!,6,FALSE),"")</f>
        <v/>
      </c>
      <c r="L196" s="4" t="str">
        <f>IF(AND($E196=1,$F196=1),'入力シート（2事業場以降）'!J116,"")&amp;""</f>
        <v/>
      </c>
      <c r="M196" s="4" t="str">
        <f>IF(AND($E196=1,$F196=1),'入力シート（2事業場以降）'!N116,"")&amp;""</f>
        <v/>
      </c>
      <c r="N196" s="4" t="str">
        <f>IF(AND($E196=1,$F196=1),'入力シート（2事業場以降）'!R116,"")&amp;""</f>
        <v/>
      </c>
      <c r="O196" s="4" t="str">
        <f>IF(AND($E196=1,$F196=1),'入力シート（2事業場以降）'!V116,"")&amp;""</f>
        <v/>
      </c>
      <c r="P196" s="4" t="str">
        <f>IFERROR(VLOOKUP($G196,#REF!,10,FALSE),"")</f>
        <v/>
      </c>
      <c r="Q196" s="12" t="str">
        <f>IF(AND($E196=1,$F196=2),TRIM(CLEAN('入力シート（2事業場以降）'!#REF!)),"")&amp;""</f>
        <v/>
      </c>
      <c r="R196" s="12" t="str">
        <f>IF(AND($E196=1,$F196=2),TRIM(CLEAN('入力シート（2事業場以降）'!#REF!)),"")&amp;""</f>
        <v/>
      </c>
      <c r="S196" s="12" t="str">
        <f>IF(AND($E196=1,$F196=2),TRIM(CLEAN('入力シート（2事業場以降）'!#REF!)),"")&amp;""</f>
        <v/>
      </c>
      <c r="T196" s="12" t="str">
        <f>IF(AND($E196=1,$F196=2),TRIM(CLEAN('入力シート（2事業場以降）'!#REF!)),"")&amp;""</f>
        <v/>
      </c>
      <c r="U196" s="10" t="str">
        <f>IF(AND($E196=1,$F196=1),'入力シート（2事業場以降）'!H116,"")&amp;""</f>
        <v/>
      </c>
      <c r="V196">
        <v>4</v>
      </c>
      <c r="W196" s="41" t="str">
        <f t="shared" ca="1" si="42"/>
        <v>OK</v>
      </c>
      <c r="X196" t="str">
        <f t="shared" ca="1" si="48"/>
        <v>コード番号を選択してください。</v>
      </c>
      <c r="Y196">
        <f t="shared" si="44"/>
        <v>1</v>
      </c>
      <c r="Z196">
        <f t="shared" si="51"/>
        <v>0</v>
      </c>
      <c r="AA196" t="str">
        <f>"コード番号を選択してください。"</f>
        <v>コード番号を選択してください。</v>
      </c>
      <c r="AB196" t="str">
        <f t="shared" si="43"/>
        <v>コード番号を選択してください。</v>
      </c>
      <c r="AC196" t="s">
        <v>179</v>
      </c>
      <c r="AD196" s="18"/>
      <c r="AE196" s="18"/>
      <c r="AF196" t="s">
        <v>180</v>
      </c>
      <c r="AH196">
        <f t="shared" si="45"/>
        <v>9999</v>
      </c>
      <c r="AI196">
        <f>SMALL($AH$187:$AH$276,10)</f>
        <v>9999</v>
      </c>
      <c r="AJ196" t="e">
        <f t="shared" si="46"/>
        <v>#N/A</v>
      </c>
      <c r="AK196" t="str">
        <f t="shared" si="47"/>
        <v>事業場99</v>
      </c>
    </row>
    <row r="197" spans="2:37" x14ac:dyDescent="0.2">
      <c r="B197" s="5">
        <v>4</v>
      </c>
      <c r="C197" s="5">
        <v>2</v>
      </c>
      <c r="D197" s="4">
        <v>402</v>
      </c>
      <c r="E197" s="4">
        <f t="shared" si="50"/>
        <v>0</v>
      </c>
      <c r="F197" s="12">
        <f>'入力シート（2事業場以降）'!AQ118</f>
        <v>0</v>
      </c>
      <c r="G197" s="4" t="str">
        <f>IF(AND($E197=1,$F197=1),'入力シート（2事業場以降）'!F118,"")&amp;""</f>
        <v/>
      </c>
      <c r="H197" s="12" t="str">
        <f>IFERROR(VLOOKUP($G197,#REF!,3,FALSE),"")</f>
        <v/>
      </c>
      <c r="I197" s="12" t="str">
        <f>IFERROR(VLOOKUP($G197,#REF!,4,FALSE),"")</f>
        <v/>
      </c>
      <c r="J197" s="12" t="str">
        <f>IFERROR(VLOOKUP($G197,#REF!,5,FALSE),"")</f>
        <v/>
      </c>
      <c r="K197" s="12" t="str">
        <f>IFERROR(VLOOKUP($G197,#REF!,6,FALSE),"")</f>
        <v/>
      </c>
      <c r="L197" s="4" t="str">
        <f>IF(AND($E197=1,$F197=1),'入力シート（2事業場以降）'!J118,"")&amp;""</f>
        <v/>
      </c>
      <c r="M197" s="4" t="str">
        <f>IF(AND($E197=1,$F197=1),'入力シート（2事業場以降）'!N118,"")&amp;""</f>
        <v/>
      </c>
      <c r="N197" s="4" t="str">
        <f>IF(AND($E197=1,$F197=1),'入力シート（2事業場以降）'!R118,"")&amp;""</f>
        <v/>
      </c>
      <c r="O197" s="4" t="str">
        <f>IF(AND($E197=1,$F197=1),'入力シート（2事業場以降）'!V118,"")&amp;""</f>
        <v/>
      </c>
      <c r="P197" s="4" t="str">
        <f>IFERROR(VLOOKUP($G197,#REF!,10,FALSE),"")</f>
        <v/>
      </c>
      <c r="Q197" s="12" t="str">
        <f>IF(AND($E197=1,$F197=2),TRIM(CLEAN('入力シート（2事業場以降）'!#REF!)),"")&amp;""</f>
        <v/>
      </c>
      <c r="R197" s="12" t="str">
        <f>IF(AND($E197=1,$F197=2),TRIM(CLEAN('入力シート（2事業場以降）'!#REF!)),"")&amp;""</f>
        <v/>
      </c>
      <c r="S197" s="12" t="str">
        <f>IF(AND($E197=1,$F197=2),TRIM(CLEAN('入力シート（2事業場以降）'!#REF!)),"")&amp;""</f>
        <v/>
      </c>
      <c r="T197" s="12" t="str">
        <f>IF(AND($E197=1,$F197=2),TRIM(CLEAN('入力シート（2事業場以降）'!#REF!)),"")&amp;""</f>
        <v/>
      </c>
      <c r="U197" s="10" t="str">
        <f>IF(AND($E197=1,$F197=1),'入力シート（2事業場以降）'!H118,"")&amp;""</f>
        <v/>
      </c>
      <c r="W197" s="41" t="str">
        <f t="shared" ca="1" si="42"/>
        <v>OK</v>
      </c>
      <c r="X197" t="str">
        <f t="shared" ca="1" si="48"/>
        <v/>
      </c>
      <c r="Y197">
        <f t="shared" si="44"/>
        <v>1</v>
      </c>
      <c r="Z197">
        <f t="shared" si="51"/>
        <v>2</v>
      </c>
      <c r="AA197" s="18"/>
      <c r="AB197" t="str">
        <f t="shared" si="43"/>
        <v>コード番号を選択してください。</v>
      </c>
      <c r="AC197" t="s">
        <v>179</v>
      </c>
      <c r="AD197" s="18"/>
      <c r="AE197" t="str">
        <f>C196&amp;"つ目の研修が入力されていません。"&amp;CHAR(10)&amp;"詰めて入力してください。"</f>
        <v>1つ目の研修が入力されていません。
詰めて入力してください。</v>
      </c>
      <c r="AF197" t="s">
        <v>180</v>
      </c>
      <c r="AH197">
        <f t="shared" si="45"/>
        <v>9999</v>
      </c>
      <c r="AI197">
        <f>SMALL($AH$187:$AH$276,11)</f>
        <v>9999</v>
      </c>
      <c r="AJ197" t="e">
        <f t="shared" si="46"/>
        <v>#N/A</v>
      </c>
      <c r="AK197" t="str">
        <f t="shared" si="47"/>
        <v>事業場99</v>
      </c>
    </row>
    <row r="198" spans="2:37" x14ac:dyDescent="0.2">
      <c r="B198" s="5">
        <v>4</v>
      </c>
      <c r="C198" s="5">
        <v>3</v>
      </c>
      <c r="D198" s="4">
        <v>403</v>
      </c>
      <c r="E198" s="4">
        <f t="shared" si="50"/>
        <v>0</v>
      </c>
      <c r="F198" s="12">
        <f>'入力シート（2事業場以降）'!AQ120</f>
        <v>0</v>
      </c>
      <c r="G198" s="4" t="str">
        <f>IF(AND($E198=1,$F198=1),'入力シート（2事業場以降）'!F120,"")&amp;""</f>
        <v/>
      </c>
      <c r="H198" s="12" t="str">
        <f>IFERROR(VLOOKUP($G198,#REF!,3,FALSE),"")</f>
        <v/>
      </c>
      <c r="I198" s="12" t="str">
        <f>IFERROR(VLOOKUP($G198,#REF!,4,FALSE),"")</f>
        <v/>
      </c>
      <c r="J198" s="12" t="str">
        <f>IFERROR(VLOOKUP($G198,#REF!,5,FALSE),"")</f>
        <v/>
      </c>
      <c r="K198" s="12" t="str">
        <f>IFERROR(VLOOKUP($G198,#REF!,6,FALSE),"")</f>
        <v/>
      </c>
      <c r="L198" s="4" t="str">
        <f>IF(AND($E198=1,$F198=1),'入力シート（2事業場以降）'!J120,"")&amp;""</f>
        <v/>
      </c>
      <c r="M198" s="4" t="str">
        <f>IF(AND($E198=1,$F198=1),'入力シート（2事業場以降）'!N120,"")&amp;""</f>
        <v/>
      </c>
      <c r="N198" s="4" t="str">
        <f>IF(AND($E198=1,$F198=1),'入力シート（2事業場以降）'!R120,"")&amp;""</f>
        <v/>
      </c>
      <c r="O198" s="4" t="str">
        <f>IF(AND($E198=1,$F198=1),'入力シート（2事業場以降）'!V120,"")&amp;""</f>
        <v/>
      </c>
      <c r="P198" s="4" t="str">
        <f>IFERROR(VLOOKUP($G198,#REF!,10,FALSE),"")</f>
        <v/>
      </c>
      <c r="Q198" s="12" t="str">
        <f>IF(AND($E198=1,$F198=2),TRIM(CLEAN('入力シート（2事業場以降）'!#REF!)),"")&amp;""</f>
        <v/>
      </c>
      <c r="R198" s="12" t="str">
        <f>IF(AND($E198=1,$F198=2),TRIM(CLEAN('入力シート（2事業場以降）'!#REF!)),"")&amp;""</f>
        <v/>
      </c>
      <c r="S198" s="12" t="str">
        <f>IF(AND($E198=1,$F198=2),TRIM(CLEAN('入力シート（2事業場以降）'!#REF!)),"")&amp;""</f>
        <v/>
      </c>
      <c r="T198" s="12" t="str">
        <f>IF(AND($E198=1,$F198=2),TRIM(CLEAN('入力シート（2事業場以降）'!#REF!)),"")&amp;""</f>
        <v/>
      </c>
      <c r="U198" s="10" t="str">
        <f>IF(AND($E198=1,$F198=1),'入力シート（2事業場以降）'!H120,"")&amp;""</f>
        <v/>
      </c>
      <c r="W198" s="41" t="str">
        <f t="shared" ca="1" si="42"/>
        <v>OK</v>
      </c>
      <c r="X198" t="str">
        <f t="shared" ca="1" si="48"/>
        <v/>
      </c>
      <c r="Y198">
        <f t="shared" si="44"/>
        <v>1</v>
      </c>
      <c r="Z198">
        <f t="shared" si="51"/>
        <v>1</v>
      </c>
      <c r="AA198" s="18"/>
      <c r="AB198" t="str">
        <f t="shared" si="43"/>
        <v>コード番号を選択してください。</v>
      </c>
      <c r="AC198" t="s">
        <v>179</v>
      </c>
      <c r="AD198" t="str">
        <f t="shared" ref="AD198" si="54">AE197</f>
        <v>1つ目の研修が入力されていません。
詰めて入力してください。</v>
      </c>
      <c r="AE198" t="str">
        <f>C197&amp;"つ目の研修が入力されていません。"&amp;CHAR(10)&amp;"詰めて入力してください。"</f>
        <v>2つ目の研修が入力されていません。
詰めて入力してください。</v>
      </c>
      <c r="AF198" t="s">
        <v>180</v>
      </c>
      <c r="AH198">
        <f t="shared" si="45"/>
        <v>9999</v>
      </c>
      <c r="AI198">
        <f>SMALL($AH$187:$AH$276,12)</f>
        <v>9999</v>
      </c>
      <c r="AJ198" t="e">
        <f t="shared" si="46"/>
        <v>#N/A</v>
      </c>
      <c r="AK198" t="str">
        <f t="shared" si="47"/>
        <v>事業場99</v>
      </c>
    </row>
    <row r="199" spans="2:37" x14ac:dyDescent="0.2">
      <c r="B199" s="5">
        <v>5</v>
      </c>
      <c r="C199" s="5">
        <v>1</v>
      </c>
      <c r="D199" s="4">
        <v>501</v>
      </c>
      <c r="E199" s="4">
        <f t="shared" si="50"/>
        <v>0</v>
      </c>
      <c r="F199" s="12">
        <f>'入力シート（2事業場以降）'!AQ123</f>
        <v>0</v>
      </c>
      <c r="G199" s="4" t="str">
        <f>IF(AND($E199=1,$F199=1),'入力シート（2事業場以降）'!F123,"")&amp;""</f>
        <v/>
      </c>
      <c r="H199" s="12" t="str">
        <f>IFERROR(VLOOKUP($G199,#REF!,3,FALSE),"")</f>
        <v/>
      </c>
      <c r="I199" s="12" t="str">
        <f>IFERROR(VLOOKUP($G199,#REF!,4,FALSE),"")</f>
        <v/>
      </c>
      <c r="J199" s="12" t="str">
        <f>IFERROR(VLOOKUP($G199,#REF!,5,FALSE),"")</f>
        <v/>
      </c>
      <c r="K199" s="12" t="str">
        <f>IFERROR(VLOOKUP($G199,#REF!,6,FALSE),"")</f>
        <v/>
      </c>
      <c r="L199" s="4" t="str">
        <f>IF(AND($E199=1,$F199=1),'入力シート（2事業場以降）'!J123,"")&amp;""</f>
        <v/>
      </c>
      <c r="M199" s="4" t="str">
        <f>IF(AND($E199=1,$F199=1),'入力シート（2事業場以降）'!N123,"")&amp;""</f>
        <v/>
      </c>
      <c r="N199" s="4" t="str">
        <f>IF(AND($E199=1,$F199=1),'入力シート（2事業場以降）'!R123,"")&amp;""</f>
        <v/>
      </c>
      <c r="O199" s="4" t="str">
        <f>IF(AND($E199=1,$F199=1),'入力シート（2事業場以降）'!V123,"")&amp;""</f>
        <v/>
      </c>
      <c r="P199" s="4" t="str">
        <f>IFERROR(VLOOKUP($G199,#REF!,10,FALSE),"")</f>
        <v/>
      </c>
      <c r="Q199" s="12" t="str">
        <f>IF(AND($E199=1,$F199=2),TRIM(CLEAN('入力シート（2事業場以降）'!#REF!)),"")&amp;""</f>
        <v/>
      </c>
      <c r="R199" s="12" t="str">
        <f>IF(AND($E199=1,$F199=2),TRIM(CLEAN('入力シート（2事業場以降）'!#REF!)),"")&amp;""</f>
        <v/>
      </c>
      <c r="S199" s="12" t="str">
        <f>IF(AND($E199=1,$F199=2),TRIM(CLEAN('入力シート（2事業場以降）'!#REF!)),"")&amp;""</f>
        <v/>
      </c>
      <c r="T199" s="12" t="str">
        <f>IF(AND($E199=1,$F199=2),TRIM(CLEAN('入力シート（2事業場以降）'!#REF!)),"")&amp;""</f>
        <v/>
      </c>
      <c r="U199" s="10" t="str">
        <f>IF(AND($E199=1,$F199=1),'入力シート（2事業場以降）'!H123,"")&amp;""</f>
        <v/>
      </c>
      <c r="V199">
        <v>5</v>
      </c>
      <c r="W199" s="41" t="str">
        <f t="shared" ca="1" si="42"/>
        <v>OK</v>
      </c>
      <c r="X199" t="str">
        <f t="shared" ca="1" si="48"/>
        <v>コード番号を選択してください。</v>
      </c>
      <c r="Y199">
        <f t="shared" si="44"/>
        <v>1</v>
      </c>
      <c r="Z199">
        <f t="shared" si="51"/>
        <v>0</v>
      </c>
      <c r="AA199" t="str">
        <f>"コード番号を選択してください。"</f>
        <v>コード番号を選択してください。</v>
      </c>
      <c r="AB199" t="str">
        <f t="shared" si="43"/>
        <v>コード番号を選択してください。</v>
      </c>
      <c r="AC199" t="s">
        <v>179</v>
      </c>
      <c r="AD199" s="18"/>
      <c r="AE199" s="18"/>
      <c r="AF199" t="s">
        <v>180</v>
      </c>
      <c r="AH199">
        <f t="shared" si="45"/>
        <v>9999</v>
      </c>
      <c r="AI199">
        <f>SMALL($AH$187:$AH$276,13)</f>
        <v>9999</v>
      </c>
      <c r="AJ199" t="e">
        <f t="shared" si="46"/>
        <v>#N/A</v>
      </c>
      <c r="AK199" t="str">
        <f t="shared" si="47"/>
        <v>事業場99</v>
      </c>
    </row>
    <row r="200" spans="2:37" x14ac:dyDescent="0.2">
      <c r="B200" s="5">
        <v>5</v>
      </c>
      <c r="C200" s="5">
        <v>2</v>
      </c>
      <c r="D200" s="4">
        <v>502</v>
      </c>
      <c r="E200" s="4">
        <f t="shared" si="50"/>
        <v>0</v>
      </c>
      <c r="F200" s="12">
        <f>'入力シート（2事業場以降）'!AQ125</f>
        <v>0</v>
      </c>
      <c r="G200" s="4" t="str">
        <f>IF(AND($E200=1,$F200=1),'入力シート（2事業場以降）'!F125,"")&amp;""</f>
        <v/>
      </c>
      <c r="H200" s="12" t="str">
        <f>IFERROR(VLOOKUP($G200,#REF!,3,FALSE),"")</f>
        <v/>
      </c>
      <c r="I200" s="12" t="str">
        <f>IFERROR(VLOOKUP($G200,#REF!,4,FALSE),"")</f>
        <v/>
      </c>
      <c r="J200" s="12" t="str">
        <f>IFERROR(VLOOKUP($G200,#REF!,5,FALSE),"")</f>
        <v/>
      </c>
      <c r="K200" s="12" t="str">
        <f>IFERROR(VLOOKUP($G200,#REF!,6,FALSE),"")</f>
        <v/>
      </c>
      <c r="L200" s="4" t="str">
        <f>IF(AND($E200=1,$F200=1),'入力シート（2事業場以降）'!J125,"")&amp;""</f>
        <v/>
      </c>
      <c r="M200" s="4" t="str">
        <f>IF(AND($E200=1,$F200=1),'入力シート（2事業場以降）'!N125,"")&amp;""</f>
        <v/>
      </c>
      <c r="N200" s="4" t="str">
        <f>IF(AND($E200=1,$F200=1),'入力シート（2事業場以降）'!R125,"")&amp;""</f>
        <v/>
      </c>
      <c r="O200" s="4" t="str">
        <f>IF(AND($E200=1,$F200=1),'入力シート（2事業場以降）'!V125,"")&amp;""</f>
        <v/>
      </c>
      <c r="P200" s="4" t="str">
        <f>IFERROR(VLOOKUP($G200,#REF!,10,FALSE),"")</f>
        <v/>
      </c>
      <c r="Q200" s="12" t="str">
        <f>IF(AND($E200=1,$F200=2),TRIM(CLEAN('入力シート（2事業場以降）'!#REF!)),"")&amp;""</f>
        <v/>
      </c>
      <c r="R200" s="12" t="str">
        <f>IF(AND($E200=1,$F200=2),TRIM(CLEAN('入力シート（2事業場以降）'!#REF!)),"")&amp;""</f>
        <v/>
      </c>
      <c r="S200" s="12" t="str">
        <f>IF(AND($E200=1,$F200=2),TRIM(CLEAN('入力シート（2事業場以降）'!#REF!)),"")&amp;""</f>
        <v/>
      </c>
      <c r="T200" s="12" t="str">
        <f>IF(AND($E200=1,$F200=2),TRIM(CLEAN('入力シート（2事業場以降）'!#REF!)),"")&amp;""</f>
        <v/>
      </c>
      <c r="U200" s="10" t="str">
        <f>IF(AND($E200=1,$F200=1),'入力シート（2事業場以降）'!H125,"")&amp;""</f>
        <v/>
      </c>
      <c r="W200" s="41" t="str">
        <f t="shared" ca="1" si="42"/>
        <v>OK</v>
      </c>
      <c r="X200" t="str">
        <f t="shared" ca="1" si="48"/>
        <v/>
      </c>
      <c r="Y200">
        <f t="shared" si="44"/>
        <v>1</v>
      </c>
      <c r="Z200">
        <f t="shared" si="51"/>
        <v>2</v>
      </c>
      <c r="AA200" s="18"/>
      <c r="AB200" t="str">
        <f t="shared" si="43"/>
        <v>コード番号を選択してください。</v>
      </c>
      <c r="AC200" t="s">
        <v>179</v>
      </c>
      <c r="AD200" s="18"/>
      <c r="AE200" t="str">
        <f>C199&amp;"つ目の研修が入力されていません。"&amp;CHAR(10)&amp;"詰めて入力してください。"</f>
        <v>1つ目の研修が入力されていません。
詰めて入力してください。</v>
      </c>
      <c r="AF200" t="s">
        <v>180</v>
      </c>
      <c r="AH200">
        <f t="shared" si="45"/>
        <v>9999</v>
      </c>
      <c r="AI200">
        <f>SMALL($AH$187:$AH$276,14)</f>
        <v>9999</v>
      </c>
      <c r="AJ200" t="e">
        <f t="shared" si="46"/>
        <v>#N/A</v>
      </c>
      <c r="AK200" t="str">
        <f t="shared" si="47"/>
        <v>事業場99</v>
      </c>
    </row>
    <row r="201" spans="2:37" x14ac:dyDescent="0.2">
      <c r="B201" s="5">
        <v>5</v>
      </c>
      <c r="C201" s="5">
        <v>3</v>
      </c>
      <c r="D201" s="4">
        <v>503</v>
      </c>
      <c r="E201" s="4">
        <f t="shared" si="50"/>
        <v>0</v>
      </c>
      <c r="F201" s="12">
        <f>'入力シート（2事業場以降）'!AQ127</f>
        <v>0</v>
      </c>
      <c r="G201" s="4" t="str">
        <f>IF(AND($E201=1,$F201=1),'入力シート（2事業場以降）'!F127,"")&amp;""</f>
        <v/>
      </c>
      <c r="H201" s="12" t="str">
        <f>IFERROR(VLOOKUP($G201,#REF!,3,FALSE),"")</f>
        <v/>
      </c>
      <c r="I201" s="12" t="str">
        <f>IFERROR(VLOOKUP($G201,#REF!,4,FALSE),"")</f>
        <v/>
      </c>
      <c r="J201" s="12" t="str">
        <f>IFERROR(VLOOKUP($G201,#REF!,5,FALSE),"")</f>
        <v/>
      </c>
      <c r="K201" s="12" t="str">
        <f>IFERROR(VLOOKUP($G201,#REF!,6,FALSE),"")</f>
        <v/>
      </c>
      <c r="L201" s="4" t="str">
        <f>IF(AND($E201=1,$F201=1),'入力シート（2事業場以降）'!J127,"")&amp;""</f>
        <v/>
      </c>
      <c r="M201" s="4" t="str">
        <f>IF(AND($E201=1,$F201=1),'入力シート（2事業場以降）'!N127,"")&amp;""</f>
        <v/>
      </c>
      <c r="N201" s="4" t="str">
        <f>IF(AND($E201=1,$F201=1),'入力シート（2事業場以降）'!R127,"")&amp;""</f>
        <v/>
      </c>
      <c r="O201" s="4" t="str">
        <f>IF(AND($E201=1,$F201=1),'入力シート（2事業場以降）'!V127,"")&amp;""</f>
        <v/>
      </c>
      <c r="P201" s="4" t="str">
        <f>IFERROR(VLOOKUP($G201,#REF!,10,FALSE),"")</f>
        <v/>
      </c>
      <c r="Q201" s="12" t="str">
        <f>IF(AND($E201=1,$F201=2),TRIM(CLEAN('入力シート（2事業場以降）'!#REF!)),"")&amp;""</f>
        <v/>
      </c>
      <c r="R201" s="12" t="str">
        <f>IF(AND($E201=1,$F201=2),TRIM(CLEAN('入力シート（2事業場以降）'!#REF!)),"")&amp;""</f>
        <v/>
      </c>
      <c r="S201" s="12" t="str">
        <f>IF(AND($E201=1,$F201=2),TRIM(CLEAN('入力シート（2事業場以降）'!#REF!)),"")&amp;""</f>
        <v/>
      </c>
      <c r="T201" s="12" t="str">
        <f>IF(AND($E201=1,$F201=2),TRIM(CLEAN('入力シート（2事業場以降）'!#REF!)),"")&amp;""</f>
        <v/>
      </c>
      <c r="U201" s="10" t="str">
        <f>IF(AND($E201=1,$F201=1),'入力シート（2事業場以降）'!H127,"")&amp;""</f>
        <v/>
      </c>
      <c r="W201" s="41" t="str">
        <f t="shared" ca="1" si="42"/>
        <v>OK</v>
      </c>
      <c r="X201" t="str">
        <f t="shared" ca="1" si="48"/>
        <v/>
      </c>
      <c r="Y201">
        <f t="shared" si="44"/>
        <v>1</v>
      </c>
      <c r="Z201">
        <f t="shared" si="51"/>
        <v>1</v>
      </c>
      <c r="AA201" s="18"/>
      <c r="AB201" t="str">
        <f t="shared" si="43"/>
        <v>コード番号を選択してください。</v>
      </c>
      <c r="AC201" t="s">
        <v>179</v>
      </c>
      <c r="AD201" t="str">
        <f t="shared" ref="AD201" si="55">AE200</f>
        <v>1つ目の研修が入力されていません。
詰めて入力してください。</v>
      </c>
      <c r="AE201" t="str">
        <f>C200&amp;"つ目の研修が入力されていません。"&amp;CHAR(10)&amp;"詰めて入力してください。"</f>
        <v>2つ目の研修が入力されていません。
詰めて入力してください。</v>
      </c>
      <c r="AF201" t="s">
        <v>180</v>
      </c>
      <c r="AH201">
        <f t="shared" si="45"/>
        <v>9999</v>
      </c>
      <c r="AI201">
        <f>SMALL($AH$187:$AH$276,15)</f>
        <v>9999</v>
      </c>
      <c r="AJ201" t="e">
        <f t="shared" si="46"/>
        <v>#N/A</v>
      </c>
      <c r="AK201" t="str">
        <f t="shared" si="47"/>
        <v>事業場99</v>
      </c>
    </row>
    <row r="202" spans="2:37" x14ac:dyDescent="0.2">
      <c r="B202" s="5">
        <v>6</v>
      </c>
      <c r="C202" s="5">
        <v>1</v>
      </c>
      <c r="D202" s="4">
        <v>601</v>
      </c>
      <c r="E202" s="4">
        <f t="shared" si="50"/>
        <v>0</v>
      </c>
      <c r="F202" s="12">
        <f>'入力シート（2事業場以降）'!AQ130</f>
        <v>0</v>
      </c>
      <c r="G202" s="4" t="str">
        <f>IF(AND($E202=1,$F202=1),'入力シート（2事業場以降）'!F130,"")&amp;""</f>
        <v/>
      </c>
      <c r="H202" s="12" t="str">
        <f>IFERROR(VLOOKUP($G202,#REF!,3,FALSE),"")</f>
        <v/>
      </c>
      <c r="I202" s="12" t="str">
        <f>IFERROR(VLOOKUP($G202,#REF!,4,FALSE),"")</f>
        <v/>
      </c>
      <c r="J202" s="12" t="str">
        <f>IFERROR(VLOOKUP($G202,#REF!,5,FALSE),"")</f>
        <v/>
      </c>
      <c r="K202" s="12" t="str">
        <f>IFERROR(VLOOKUP($G202,#REF!,6,FALSE),"")</f>
        <v/>
      </c>
      <c r="L202" s="4" t="str">
        <f>IF(AND($E202=1,$F202=1),'入力シート（2事業場以降）'!J130,"")&amp;""</f>
        <v/>
      </c>
      <c r="M202" s="4" t="str">
        <f>IF(AND($E202=1,$F202=1),'入力シート（2事業場以降）'!N130,"")&amp;""</f>
        <v/>
      </c>
      <c r="N202" s="4" t="str">
        <f>IF(AND($E202=1,$F202=1),'入力シート（2事業場以降）'!R130,"")&amp;""</f>
        <v/>
      </c>
      <c r="O202" s="4" t="str">
        <f>IF(AND($E202=1,$F202=1),'入力シート（2事業場以降）'!V130,"")&amp;""</f>
        <v/>
      </c>
      <c r="P202" s="4" t="str">
        <f>IFERROR(VLOOKUP($G202,#REF!,10,FALSE),"")</f>
        <v/>
      </c>
      <c r="Q202" s="12" t="str">
        <f>IF(AND($E202=1,$F202=2),TRIM(CLEAN('入力シート（2事業場以降）'!#REF!)),"")&amp;""</f>
        <v/>
      </c>
      <c r="R202" s="12" t="str">
        <f>IF(AND($E202=1,$F202=2),TRIM(CLEAN('入力シート（2事業場以降）'!#REF!)),"")&amp;""</f>
        <v/>
      </c>
      <c r="S202" s="12" t="str">
        <f>IF(AND($E202=1,$F202=2),TRIM(CLEAN('入力シート（2事業場以降）'!#REF!)),"")&amp;""</f>
        <v/>
      </c>
      <c r="T202" s="12" t="str">
        <f>IF(AND($E202=1,$F202=2),TRIM(CLEAN('入力シート（2事業場以降）'!#REF!)),"")&amp;""</f>
        <v/>
      </c>
      <c r="U202" s="10" t="str">
        <f>IF(AND($E202=1,$F202=1),'入力シート（2事業場以降）'!H130,"")&amp;""</f>
        <v/>
      </c>
      <c r="V202">
        <v>6</v>
      </c>
      <c r="W202" s="41" t="str">
        <f t="shared" ca="1" si="42"/>
        <v>OK</v>
      </c>
      <c r="X202" t="str">
        <f t="shared" ca="1" si="48"/>
        <v>コード番号を選択してください。</v>
      </c>
      <c r="Y202">
        <f t="shared" si="44"/>
        <v>1</v>
      </c>
      <c r="Z202">
        <f t="shared" si="51"/>
        <v>0</v>
      </c>
      <c r="AA202" t="str">
        <f>"コード番号を選択してください。"</f>
        <v>コード番号を選択してください。</v>
      </c>
      <c r="AB202" t="str">
        <f t="shared" si="43"/>
        <v>コード番号を選択してください。</v>
      </c>
      <c r="AC202" t="s">
        <v>179</v>
      </c>
      <c r="AD202" s="18"/>
      <c r="AE202" s="18"/>
      <c r="AF202" t="s">
        <v>180</v>
      </c>
      <c r="AH202">
        <f t="shared" si="45"/>
        <v>9999</v>
      </c>
      <c r="AI202">
        <f>SMALL($AH$187:$AH$276,16)</f>
        <v>9999</v>
      </c>
      <c r="AJ202" t="e">
        <f t="shared" si="46"/>
        <v>#N/A</v>
      </c>
      <c r="AK202" t="str">
        <f t="shared" si="47"/>
        <v>事業場99</v>
      </c>
    </row>
    <row r="203" spans="2:37" x14ac:dyDescent="0.2">
      <c r="B203" s="5">
        <v>6</v>
      </c>
      <c r="C203" s="5">
        <v>2</v>
      </c>
      <c r="D203" s="4">
        <v>602</v>
      </c>
      <c r="E203" s="4">
        <f t="shared" si="50"/>
        <v>0</v>
      </c>
      <c r="F203" s="12">
        <f>'入力シート（2事業場以降）'!AQ132</f>
        <v>0</v>
      </c>
      <c r="G203" s="4" t="str">
        <f>IF(AND($E203=1,$F203=1),'入力シート（2事業場以降）'!F132,"")&amp;""</f>
        <v/>
      </c>
      <c r="H203" s="12" t="str">
        <f>IFERROR(VLOOKUP($G203,#REF!,3,FALSE),"")</f>
        <v/>
      </c>
      <c r="I203" s="12" t="str">
        <f>IFERROR(VLOOKUP($G203,#REF!,4,FALSE),"")</f>
        <v/>
      </c>
      <c r="J203" s="12" t="str">
        <f>IFERROR(VLOOKUP($G203,#REF!,5,FALSE),"")</f>
        <v/>
      </c>
      <c r="K203" s="12" t="str">
        <f>IFERROR(VLOOKUP($G203,#REF!,6,FALSE),"")</f>
        <v/>
      </c>
      <c r="L203" s="4" t="str">
        <f>IF(AND($E203=1,$F203=1),'入力シート（2事業場以降）'!J132,"")&amp;""</f>
        <v/>
      </c>
      <c r="M203" s="4" t="str">
        <f>IF(AND($E203=1,$F203=1),'入力シート（2事業場以降）'!N132,"")&amp;""</f>
        <v/>
      </c>
      <c r="N203" s="4" t="str">
        <f>IF(AND($E203=1,$F203=1),'入力シート（2事業場以降）'!R132,"")&amp;""</f>
        <v/>
      </c>
      <c r="O203" s="4" t="str">
        <f>IF(AND($E203=1,$F203=1),'入力シート（2事業場以降）'!V132,"")&amp;""</f>
        <v/>
      </c>
      <c r="P203" s="4" t="str">
        <f>IFERROR(VLOOKUP($G203,#REF!,10,FALSE),"")</f>
        <v/>
      </c>
      <c r="Q203" s="12" t="str">
        <f>IF(AND($E203=1,$F203=2),TRIM(CLEAN('入力シート（2事業場以降）'!#REF!)),"")&amp;""</f>
        <v/>
      </c>
      <c r="R203" s="12" t="str">
        <f>IF(AND($E203=1,$F203=2),TRIM(CLEAN('入力シート（2事業場以降）'!#REF!)),"")&amp;""</f>
        <v/>
      </c>
      <c r="S203" s="12" t="str">
        <f>IF(AND($E203=1,$F203=2),TRIM(CLEAN('入力シート（2事業場以降）'!#REF!)),"")&amp;""</f>
        <v/>
      </c>
      <c r="T203" s="12" t="str">
        <f>IF(AND($E203=1,$F203=2),TRIM(CLEAN('入力シート（2事業場以降）'!#REF!)),"")&amp;""</f>
        <v/>
      </c>
      <c r="U203" s="10" t="str">
        <f>IF(AND($E203=1,$F203=1),'入力シート（2事業場以降）'!H132,"")&amp;""</f>
        <v/>
      </c>
      <c r="W203" s="41" t="str">
        <f t="shared" ca="1" si="42"/>
        <v>OK</v>
      </c>
      <c r="X203" t="str">
        <f t="shared" ca="1" si="48"/>
        <v/>
      </c>
      <c r="Y203">
        <f t="shared" si="44"/>
        <v>1</v>
      </c>
      <c r="Z203">
        <f t="shared" si="51"/>
        <v>2</v>
      </c>
      <c r="AA203" s="18"/>
      <c r="AB203" t="str">
        <f t="shared" si="43"/>
        <v>コード番号を選択してください。</v>
      </c>
      <c r="AC203" t="s">
        <v>179</v>
      </c>
      <c r="AD203" s="18"/>
      <c r="AE203" t="str">
        <f>C202&amp;"つ目の研修が入力されていません。"&amp;CHAR(10)&amp;"詰めて入力してください。"</f>
        <v>1つ目の研修が入力されていません。
詰めて入力してください。</v>
      </c>
      <c r="AF203" t="s">
        <v>180</v>
      </c>
      <c r="AH203">
        <f t="shared" si="45"/>
        <v>9999</v>
      </c>
      <c r="AI203">
        <f>SMALL($AH$187:$AH$276,17)</f>
        <v>9999</v>
      </c>
      <c r="AJ203" t="e">
        <f t="shared" si="46"/>
        <v>#N/A</v>
      </c>
      <c r="AK203" t="str">
        <f t="shared" si="47"/>
        <v>事業場99</v>
      </c>
    </row>
    <row r="204" spans="2:37" x14ac:dyDescent="0.2">
      <c r="B204" s="5">
        <v>6</v>
      </c>
      <c r="C204" s="5">
        <v>3</v>
      </c>
      <c r="D204" s="4">
        <v>603</v>
      </c>
      <c r="E204" s="4">
        <f t="shared" si="50"/>
        <v>0</v>
      </c>
      <c r="F204" s="12">
        <f>'入力シート（2事業場以降）'!AQ134</f>
        <v>0</v>
      </c>
      <c r="G204" s="4" t="str">
        <f>IF(AND($E204=1,$F204=1),'入力シート（2事業場以降）'!F134,"")&amp;""</f>
        <v/>
      </c>
      <c r="H204" s="12" t="str">
        <f>IFERROR(VLOOKUP($G204,#REF!,3,FALSE),"")</f>
        <v/>
      </c>
      <c r="I204" s="12" t="str">
        <f>IFERROR(VLOOKUP($G204,#REF!,4,FALSE),"")</f>
        <v/>
      </c>
      <c r="J204" s="12" t="str">
        <f>IFERROR(VLOOKUP($G204,#REF!,5,FALSE),"")</f>
        <v/>
      </c>
      <c r="K204" s="12" t="str">
        <f>IFERROR(VLOOKUP($G204,#REF!,6,FALSE),"")</f>
        <v/>
      </c>
      <c r="L204" s="4" t="str">
        <f>IF(AND($E204=1,$F204=1),'入力シート（2事業場以降）'!J134,"")&amp;""</f>
        <v/>
      </c>
      <c r="M204" s="4" t="str">
        <f>IF(AND($E204=1,$F204=1),'入力シート（2事業場以降）'!N134,"")&amp;""</f>
        <v/>
      </c>
      <c r="N204" s="4" t="str">
        <f>IF(AND($E204=1,$F204=1),'入力シート（2事業場以降）'!R134,"")&amp;""</f>
        <v/>
      </c>
      <c r="O204" s="4" t="str">
        <f>IF(AND($E204=1,$F204=1),'入力シート（2事業場以降）'!V134,"")&amp;""</f>
        <v/>
      </c>
      <c r="P204" s="4" t="str">
        <f>IFERROR(VLOOKUP($G204,#REF!,10,FALSE),"")</f>
        <v/>
      </c>
      <c r="Q204" s="12" t="str">
        <f>IF(AND($E204=1,$F204=2),TRIM(CLEAN('入力シート（2事業場以降）'!#REF!)),"")&amp;""</f>
        <v/>
      </c>
      <c r="R204" s="12" t="str">
        <f>IF(AND($E204=1,$F204=2),TRIM(CLEAN('入力シート（2事業場以降）'!#REF!)),"")&amp;""</f>
        <v/>
      </c>
      <c r="S204" s="12" t="str">
        <f>IF(AND($E204=1,$F204=2),TRIM(CLEAN('入力シート（2事業場以降）'!#REF!)),"")&amp;""</f>
        <v/>
      </c>
      <c r="T204" s="12" t="str">
        <f>IF(AND($E204=1,$F204=2),TRIM(CLEAN('入力シート（2事業場以降）'!#REF!)),"")&amp;""</f>
        <v/>
      </c>
      <c r="U204" s="10" t="str">
        <f>IF(AND($E204=1,$F204=1),'入力シート（2事業場以降）'!H134,"")&amp;""</f>
        <v/>
      </c>
      <c r="W204" s="41" t="str">
        <f t="shared" ca="1" si="42"/>
        <v>OK</v>
      </c>
      <c r="X204" t="str">
        <f t="shared" ca="1" si="48"/>
        <v/>
      </c>
      <c r="Y204">
        <f t="shared" si="44"/>
        <v>1</v>
      </c>
      <c r="Z204">
        <f t="shared" si="51"/>
        <v>1</v>
      </c>
      <c r="AA204" s="18"/>
      <c r="AB204" t="str">
        <f t="shared" si="43"/>
        <v>コード番号を選択してください。</v>
      </c>
      <c r="AC204" t="s">
        <v>179</v>
      </c>
      <c r="AD204" t="str">
        <f t="shared" ref="AD204" si="56">AE203</f>
        <v>1つ目の研修が入力されていません。
詰めて入力してください。</v>
      </c>
      <c r="AE204" t="str">
        <f>C203&amp;"つ目の研修が入力されていません。"&amp;CHAR(10)&amp;"詰めて入力してください。"</f>
        <v>2つ目の研修が入力されていません。
詰めて入力してください。</v>
      </c>
      <c r="AF204" t="s">
        <v>180</v>
      </c>
      <c r="AH204">
        <f t="shared" si="45"/>
        <v>9999</v>
      </c>
      <c r="AI204">
        <f>SMALL($AH$187:$AH$276,18)</f>
        <v>9999</v>
      </c>
      <c r="AJ204" t="e">
        <f t="shared" si="46"/>
        <v>#N/A</v>
      </c>
      <c r="AK204" t="str">
        <f t="shared" si="47"/>
        <v>事業場99</v>
      </c>
    </row>
    <row r="205" spans="2:37" x14ac:dyDescent="0.2">
      <c r="B205" s="5">
        <v>7</v>
      </c>
      <c r="C205" s="5">
        <v>1</v>
      </c>
      <c r="D205" s="4">
        <v>701</v>
      </c>
      <c r="E205" s="4">
        <f t="shared" si="50"/>
        <v>0</v>
      </c>
      <c r="F205" s="12">
        <f>'入力シート（2事業場以降）'!AQ137</f>
        <v>0</v>
      </c>
      <c r="G205" s="4" t="str">
        <f>IF(AND($E205=1,$F205=1),'入力シート（2事業場以降）'!F137,"")&amp;""</f>
        <v/>
      </c>
      <c r="H205" s="12" t="str">
        <f>IFERROR(VLOOKUP($G205,#REF!,3,FALSE),"")</f>
        <v/>
      </c>
      <c r="I205" s="12" t="str">
        <f>IFERROR(VLOOKUP($G205,#REF!,4,FALSE),"")</f>
        <v/>
      </c>
      <c r="J205" s="12" t="str">
        <f>IFERROR(VLOOKUP($G205,#REF!,5,FALSE),"")</f>
        <v/>
      </c>
      <c r="K205" s="12" t="str">
        <f>IFERROR(VLOOKUP($G205,#REF!,6,FALSE),"")</f>
        <v/>
      </c>
      <c r="L205" s="4" t="str">
        <f>IF(AND($E205=1,$F205=1),'入力シート（2事業場以降）'!J137,"")&amp;""</f>
        <v/>
      </c>
      <c r="M205" s="4" t="str">
        <f>IF(AND($E205=1,$F205=1),'入力シート（2事業場以降）'!N137,"")&amp;""</f>
        <v/>
      </c>
      <c r="N205" s="4" t="str">
        <f>IF(AND($E205=1,$F205=1),'入力シート（2事業場以降）'!R137,"")&amp;""</f>
        <v/>
      </c>
      <c r="O205" s="4" t="str">
        <f>IF(AND($E205=1,$F205=1),'入力シート（2事業場以降）'!V137,"")&amp;""</f>
        <v/>
      </c>
      <c r="P205" s="4" t="str">
        <f>IFERROR(VLOOKUP($G205,#REF!,10,FALSE),"")</f>
        <v/>
      </c>
      <c r="Q205" s="12" t="str">
        <f>IF(AND($E205=1,$F205=2),TRIM(CLEAN('入力シート（2事業場以降）'!#REF!)),"")&amp;""</f>
        <v/>
      </c>
      <c r="R205" s="12" t="str">
        <f>IF(AND($E205=1,$F205=2),TRIM(CLEAN('入力シート（2事業場以降）'!#REF!)),"")&amp;""</f>
        <v/>
      </c>
      <c r="S205" s="12" t="str">
        <f>IF(AND($E205=1,$F205=2),TRIM(CLEAN('入力シート（2事業場以降）'!#REF!)),"")&amp;""</f>
        <v/>
      </c>
      <c r="T205" s="12" t="str">
        <f>IF(AND($E205=1,$F205=2),TRIM(CLEAN('入力シート（2事業場以降）'!#REF!)),"")&amp;""</f>
        <v/>
      </c>
      <c r="U205" s="10" t="str">
        <f>IF(AND($E205=1,$F205=1),'入力シート（2事業場以降）'!H137,"")&amp;""</f>
        <v/>
      </c>
      <c r="V205">
        <v>7</v>
      </c>
      <c r="W205" s="41" t="str">
        <f t="shared" ca="1" si="42"/>
        <v>OK</v>
      </c>
      <c r="X205" t="str">
        <f t="shared" ca="1" si="48"/>
        <v>コード番号を選択してください。</v>
      </c>
      <c r="Y205">
        <f t="shared" si="44"/>
        <v>1</v>
      </c>
      <c r="Z205">
        <f t="shared" si="51"/>
        <v>0</v>
      </c>
      <c r="AA205" t="str">
        <f>"コード番号を選択してください。"</f>
        <v>コード番号を選択してください。</v>
      </c>
      <c r="AB205" t="str">
        <f t="shared" si="43"/>
        <v>コード番号を選択してください。</v>
      </c>
      <c r="AC205" t="s">
        <v>179</v>
      </c>
      <c r="AD205" s="18"/>
      <c r="AE205" s="18"/>
      <c r="AF205" t="s">
        <v>180</v>
      </c>
      <c r="AH205">
        <f t="shared" si="45"/>
        <v>9999</v>
      </c>
      <c r="AI205">
        <f>SMALL($AH$187:$AH$276,19)</f>
        <v>9999</v>
      </c>
      <c r="AJ205" t="e">
        <f t="shared" si="46"/>
        <v>#N/A</v>
      </c>
      <c r="AK205" t="str">
        <f t="shared" si="47"/>
        <v>事業場99</v>
      </c>
    </row>
    <row r="206" spans="2:37" x14ac:dyDescent="0.2">
      <c r="B206" s="5">
        <v>7</v>
      </c>
      <c r="C206" s="5">
        <v>2</v>
      </c>
      <c r="D206" s="4">
        <v>702</v>
      </c>
      <c r="E206" s="4">
        <f t="shared" si="50"/>
        <v>0</v>
      </c>
      <c r="F206" s="12">
        <f>'入力シート（2事業場以降）'!AQ139</f>
        <v>0</v>
      </c>
      <c r="G206" s="4" t="str">
        <f>IF(AND($E206=1,$F206=1),'入力シート（2事業場以降）'!F139,"")&amp;""</f>
        <v/>
      </c>
      <c r="H206" s="12" t="str">
        <f>IFERROR(VLOOKUP($G206,#REF!,3,FALSE),"")</f>
        <v/>
      </c>
      <c r="I206" s="12" t="str">
        <f>IFERROR(VLOOKUP($G206,#REF!,4,FALSE),"")</f>
        <v/>
      </c>
      <c r="J206" s="12" t="str">
        <f>IFERROR(VLOOKUP($G206,#REF!,5,FALSE),"")</f>
        <v/>
      </c>
      <c r="K206" s="12" t="str">
        <f>IFERROR(VLOOKUP($G206,#REF!,6,FALSE),"")</f>
        <v/>
      </c>
      <c r="L206" s="4" t="str">
        <f>IF(AND($E206=1,$F206=1),'入力シート（2事業場以降）'!J139,"")&amp;""</f>
        <v/>
      </c>
      <c r="M206" s="4" t="str">
        <f>IF(AND($E206=1,$F206=1),'入力シート（2事業場以降）'!N139,"")&amp;""</f>
        <v/>
      </c>
      <c r="N206" s="4" t="str">
        <f>IF(AND($E206=1,$F206=1),'入力シート（2事業場以降）'!R139,"")&amp;""</f>
        <v/>
      </c>
      <c r="O206" s="4" t="str">
        <f>IF(AND($E206=1,$F206=1),'入力シート（2事業場以降）'!V139,"")&amp;""</f>
        <v/>
      </c>
      <c r="P206" s="4" t="str">
        <f>IFERROR(VLOOKUP($G206,#REF!,10,FALSE),"")</f>
        <v/>
      </c>
      <c r="Q206" s="12" t="str">
        <f>IF(AND($E206=1,$F206=2),TRIM(CLEAN('入力シート（2事業場以降）'!#REF!)),"")&amp;""</f>
        <v/>
      </c>
      <c r="R206" s="12" t="str">
        <f>IF(AND($E206=1,$F206=2),TRIM(CLEAN('入力シート（2事業場以降）'!#REF!)),"")&amp;""</f>
        <v/>
      </c>
      <c r="S206" s="12" t="str">
        <f>IF(AND($E206=1,$F206=2),TRIM(CLEAN('入力シート（2事業場以降）'!#REF!)),"")&amp;""</f>
        <v/>
      </c>
      <c r="T206" s="12" t="str">
        <f>IF(AND($E206=1,$F206=2),TRIM(CLEAN('入力シート（2事業場以降）'!#REF!)),"")&amp;""</f>
        <v/>
      </c>
      <c r="U206" s="10" t="str">
        <f>IF(AND($E206=1,$F206=1),'入力シート（2事業場以降）'!H139,"")&amp;""</f>
        <v/>
      </c>
      <c r="W206" s="41" t="str">
        <f t="shared" ca="1" si="42"/>
        <v>OK</v>
      </c>
      <c r="X206" t="str">
        <f t="shared" ca="1" si="48"/>
        <v/>
      </c>
      <c r="Y206">
        <f t="shared" si="44"/>
        <v>1</v>
      </c>
      <c r="Z206">
        <f t="shared" si="51"/>
        <v>2</v>
      </c>
      <c r="AA206" s="18"/>
      <c r="AB206" t="str">
        <f t="shared" si="43"/>
        <v>コード番号を選択してください。</v>
      </c>
      <c r="AC206" t="s">
        <v>179</v>
      </c>
      <c r="AD206" s="18"/>
      <c r="AE206" t="str">
        <f>C205&amp;"つ目の研修が入力されていません。"&amp;CHAR(10)&amp;"詰めて入力してください。"</f>
        <v>1つ目の研修が入力されていません。
詰めて入力してください。</v>
      </c>
      <c r="AF206" t="s">
        <v>180</v>
      </c>
      <c r="AH206">
        <f t="shared" si="45"/>
        <v>9999</v>
      </c>
      <c r="AI206">
        <f>SMALL($AH$187:$AH$276,20)</f>
        <v>9999</v>
      </c>
      <c r="AJ206" t="e">
        <f t="shared" si="46"/>
        <v>#N/A</v>
      </c>
      <c r="AK206" t="str">
        <f t="shared" si="47"/>
        <v>事業場99</v>
      </c>
    </row>
    <row r="207" spans="2:37" x14ac:dyDescent="0.2">
      <c r="B207" s="5">
        <v>7</v>
      </c>
      <c r="C207" s="5">
        <v>3</v>
      </c>
      <c r="D207" s="4">
        <v>703</v>
      </c>
      <c r="E207" s="4">
        <f t="shared" si="50"/>
        <v>0</v>
      </c>
      <c r="F207" s="12">
        <f>'入力シート（2事業場以降）'!AQ141</f>
        <v>0</v>
      </c>
      <c r="G207" s="4" t="str">
        <f>IF(AND($E207=1,$F207=1),'入力シート（2事業場以降）'!F141,"")&amp;""</f>
        <v/>
      </c>
      <c r="H207" s="12" t="str">
        <f>IFERROR(VLOOKUP($G207,#REF!,3,FALSE),"")</f>
        <v/>
      </c>
      <c r="I207" s="12" t="str">
        <f>IFERROR(VLOOKUP($G207,#REF!,4,FALSE),"")</f>
        <v/>
      </c>
      <c r="J207" s="12" t="str">
        <f>IFERROR(VLOOKUP($G207,#REF!,5,FALSE),"")</f>
        <v/>
      </c>
      <c r="K207" s="12" t="str">
        <f>IFERROR(VLOOKUP($G207,#REF!,6,FALSE),"")</f>
        <v/>
      </c>
      <c r="L207" s="4" t="str">
        <f>IF(AND($E207=1,$F207=1),'入力シート（2事業場以降）'!J141,"")&amp;""</f>
        <v/>
      </c>
      <c r="M207" s="4" t="str">
        <f>IF(AND($E207=1,$F207=1),'入力シート（2事業場以降）'!N141,"")&amp;""</f>
        <v/>
      </c>
      <c r="N207" s="4" t="str">
        <f>IF(AND($E207=1,$F207=1),'入力シート（2事業場以降）'!R141,"")&amp;""</f>
        <v/>
      </c>
      <c r="O207" s="4" t="str">
        <f>IF(AND($E207=1,$F207=1),'入力シート（2事業場以降）'!V141,"")&amp;""</f>
        <v/>
      </c>
      <c r="P207" s="4" t="str">
        <f>IFERROR(VLOOKUP($G207,#REF!,10,FALSE),"")</f>
        <v/>
      </c>
      <c r="Q207" s="12" t="str">
        <f>IF(AND($E207=1,$F207=2),TRIM(CLEAN('入力シート（2事業場以降）'!#REF!)),"")&amp;""</f>
        <v/>
      </c>
      <c r="R207" s="12" t="str">
        <f>IF(AND($E207=1,$F207=2),TRIM(CLEAN('入力シート（2事業場以降）'!#REF!)),"")&amp;""</f>
        <v/>
      </c>
      <c r="S207" s="12" t="str">
        <f>IF(AND($E207=1,$F207=2),TRIM(CLEAN('入力シート（2事業場以降）'!#REF!)),"")&amp;""</f>
        <v/>
      </c>
      <c r="T207" s="12" t="str">
        <f>IF(AND($E207=1,$F207=2),TRIM(CLEAN('入力シート（2事業場以降）'!#REF!)),"")&amp;""</f>
        <v/>
      </c>
      <c r="U207" s="10" t="str">
        <f>IF(AND($E207=1,$F207=1),'入力シート（2事業場以降）'!H141,"")&amp;""</f>
        <v/>
      </c>
      <c r="W207" s="41" t="str">
        <f t="shared" ca="1" si="42"/>
        <v>OK</v>
      </c>
      <c r="X207" t="str">
        <f t="shared" ca="1" si="48"/>
        <v/>
      </c>
      <c r="Y207">
        <f t="shared" si="44"/>
        <v>1</v>
      </c>
      <c r="Z207">
        <f t="shared" si="51"/>
        <v>1</v>
      </c>
      <c r="AA207" s="18"/>
      <c r="AB207" t="str">
        <f t="shared" si="43"/>
        <v>コード番号を選択してください。</v>
      </c>
      <c r="AC207" t="s">
        <v>179</v>
      </c>
      <c r="AD207" t="str">
        <f t="shared" ref="AD207" si="57">AE206</f>
        <v>1つ目の研修が入力されていません。
詰めて入力してください。</v>
      </c>
      <c r="AE207" t="str">
        <f>C206&amp;"つ目の研修が入力されていません。"&amp;CHAR(10)&amp;"詰めて入力してください。"</f>
        <v>2つ目の研修が入力されていません。
詰めて入力してください。</v>
      </c>
      <c r="AF207" t="s">
        <v>180</v>
      </c>
      <c r="AH207">
        <f t="shared" si="45"/>
        <v>9999</v>
      </c>
      <c r="AI207">
        <f>SMALL($AH$187:$AH$276,21)</f>
        <v>9999</v>
      </c>
      <c r="AJ207" t="e">
        <f t="shared" si="46"/>
        <v>#N/A</v>
      </c>
      <c r="AK207" t="str">
        <f t="shared" si="47"/>
        <v>事業場99</v>
      </c>
    </row>
    <row r="208" spans="2:37" x14ac:dyDescent="0.2">
      <c r="B208" s="5">
        <v>8</v>
      </c>
      <c r="C208" s="5">
        <v>1</v>
      </c>
      <c r="D208" s="4">
        <v>801</v>
      </c>
      <c r="E208" s="4">
        <f t="shared" si="50"/>
        <v>0</v>
      </c>
      <c r="F208" s="12">
        <f>'入力シート（2事業場以降）'!AQ144</f>
        <v>0</v>
      </c>
      <c r="G208" s="4" t="str">
        <f>IF(AND($E208=1,$F208=1),'入力シート（2事業場以降）'!F144,"")&amp;""</f>
        <v/>
      </c>
      <c r="H208" s="12" t="str">
        <f>IFERROR(VLOOKUP($G208,#REF!,3,FALSE),"")</f>
        <v/>
      </c>
      <c r="I208" s="12" t="str">
        <f>IFERROR(VLOOKUP($G208,#REF!,4,FALSE),"")</f>
        <v/>
      </c>
      <c r="J208" s="12" t="str">
        <f>IFERROR(VLOOKUP($G208,#REF!,5,FALSE),"")</f>
        <v/>
      </c>
      <c r="K208" s="12" t="str">
        <f>IFERROR(VLOOKUP($G208,#REF!,6,FALSE),"")</f>
        <v/>
      </c>
      <c r="L208" s="4" t="str">
        <f>IF(AND($E208=1,$F208=1),'入力シート（2事業場以降）'!J144,"")&amp;""</f>
        <v/>
      </c>
      <c r="M208" s="4" t="str">
        <f>IF(AND($E208=1,$F208=1),'入力シート（2事業場以降）'!N144,"")&amp;""</f>
        <v/>
      </c>
      <c r="N208" s="4" t="str">
        <f>IF(AND($E208=1,$F208=1),'入力シート（2事業場以降）'!R144,"")&amp;""</f>
        <v/>
      </c>
      <c r="O208" s="4" t="str">
        <f>IF(AND($E208=1,$F208=1),'入力シート（2事業場以降）'!V144,"")&amp;""</f>
        <v/>
      </c>
      <c r="P208" s="4" t="str">
        <f>IFERROR(VLOOKUP($G208,#REF!,10,FALSE),"")</f>
        <v/>
      </c>
      <c r="Q208" s="12" t="str">
        <f>IF(AND($E208=1,$F208=2),TRIM(CLEAN('入力シート（2事業場以降）'!#REF!)),"")&amp;""</f>
        <v/>
      </c>
      <c r="R208" s="12" t="str">
        <f>IF(AND($E208=1,$F208=2),TRIM(CLEAN('入力シート（2事業場以降）'!#REF!)),"")&amp;""</f>
        <v/>
      </c>
      <c r="S208" s="12" t="str">
        <f>IF(AND($E208=1,$F208=2),TRIM(CLEAN('入力シート（2事業場以降）'!#REF!)),"")&amp;""</f>
        <v/>
      </c>
      <c r="T208" s="12" t="str">
        <f>IF(AND($E208=1,$F208=2),TRIM(CLEAN('入力シート（2事業場以降）'!#REF!)),"")&amp;""</f>
        <v/>
      </c>
      <c r="U208" s="10" t="str">
        <f>IF(AND($E208=1,$F208=1),'入力シート（2事業場以降）'!H144,"")&amp;""</f>
        <v/>
      </c>
      <c r="V208">
        <v>8</v>
      </c>
      <c r="W208" s="41" t="str">
        <f t="shared" ca="1" si="42"/>
        <v>OK</v>
      </c>
      <c r="X208" t="str">
        <f t="shared" ca="1" si="48"/>
        <v>コード番号を選択してください。</v>
      </c>
      <c r="Y208">
        <f t="shared" si="44"/>
        <v>1</v>
      </c>
      <c r="Z208">
        <f t="shared" si="51"/>
        <v>0</v>
      </c>
      <c r="AA208" t="str">
        <f>"コード番号を選択してください。"</f>
        <v>コード番号を選択してください。</v>
      </c>
      <c r="AB208" t="str">
        <f t="shared" si="43"/>
        <v>コード番号を選択してください。</v>
      </c>
      <c r="AC208" t="s">
        <v>179</v>
      </c>
      <c r="AD208" s="18"/>
      <c r="AE208" s="18"/>
      <c r="AF208" t="s">
        <v>180</v>
      </c>
      <c r="AH208">
        <f t="shared" si="45"/>
        <v>9999</v>
      </c>
      <c r="AI208">
        <f>SMALL($AH$187:$AH$276,22)</f>
        <v>9999</v>
      </c>
      <c r="AJ208" t="e">
        <f t="shared" si="46"/>
        <v>#N/A</v>
      </c>
      <c r="AK208" t="str">
        <f t="shared" si="47"/>
        <v>事業場99</v>
      </c>
    </row>
    <row r="209" spans="2:37" x14ac:dyDescent="0.2">
      <c r="B209" s="5">
        <v>8</v>
      </c>
      <c r="C209" s="5">
        <v>2</v>
      </c>
      <c r="D209" s="4">
        <v>802</v>
      </c>
      <c r="E209" s="4">
        <f t="shared" si="50"/>
        <v>0</v>
      </c>
      <c r="F209" s="12">
        <f>'入力シート（2事業場以降）'!AQ146</f>
        <v>0</v>
      </c>
      <c r="G209" s="4" t="str">
        <f>IF(AND($E209=1,$F209=1),'入力シート（2事業場以降）'!F146,"")&amp;""</f>
        <v/>
      </c>
      <c r="H209" s="12" t="str">
        <f>IFERROR(VLOOKUP($G209,#REF!,3,FALSE),"")</f>
        <v/>
      </c>
      <c r="I209" s="12" t="str">
        <f>IFERROR(VLOOKUP($G209,#REF!,4,FALSE),"")</f>
        <v/>
      </c>
      <c r="J209" s="12" t="str">
        <f>IFERROR(VLOOKUP($G209,#REF!,5,FALSE),"")</f>
        <v/>
      </c>
      <c r="K209" s="12" t="str">
        <f>IFERROR(VLOOKUP($G209,#REF!,6,FALSE),"")</f>
        <v/>
      </c>
      <c r="L209" s="4" t="str">
        <f>IF(AND($E209=1,$F209=1),'入力シート（2事業場以降）'!J146,"")&amp;""</f>
        <v/>
      </c>
      <c r="M209" s="4" t="str">
        <f>IF(AND($E209=1,$F209=1),'入力シート（2事業場以降）'!N146,"")&amp;""</f>
        <v/>
      </c>
      <c r="N209" s="4" t="str">
        <f>IF(AND($E209=1,$F209=1),'入力シート（2事業場以降）'!R146,"")&amp;""</f>
        <v/>
      </c>
      <c r="O209" s="4" t="str">
        <f>IF(AND($E209=1,$F209=1),'入力シート（2事業場以降）'!V146,"")&amp;""</f>
        <v/>
      </c>
      <c r="P209" s="4" t="str">
        <f>IFERROR(VLOOKUP($G209,#REF!,10,FALSE),"")</f>
        <v/>
      </c>
      <c r="Q209" s="12" t="str">
        <f>IF(AND($E209=1,$F209=2),TRIM(CLEAN('入力シート（2事業場以降）'!#REF!)),"")&amp;""</f>
        <v/>
      </c>
      <c r="R209" s="12" t="str">
        <f>IF(AND($E209=1,$F209=2),TRIM(CLEAN('入力シート（2事業場以降）'!#REF!)),"")&amp;""</f>
        <v/>
      </c>
      <c r="S209" s="12" t="str">
        <f>IF(AND($E209=1,$F209=2),TRIM(CLEAN('入力シート（2事業場以降）'!#REF!)),"")&amp;""</f>
        <v/>
      </c>
      <c r="T209" s="12" t="str">
        <f>IF(AND($E209=1,$F209=2),TRIM(CLEAN('入力シート（2事業場以降）'!#REF!)),"")&amp;""</f>
        <v/>
      </c>
      <c r="U209" s="10" t="str">
        <f>IF(AND($E209=1,$F209=1),'入力シート（2事業場以降）'!H146,"")&amp;""</f>
        <v/>
      </c>
      <c r="W209" s="41" t="str">
        <f t="shared" ca="1" si="42"/>
        <v>OK</v>
      </c>
      <c r="X209" t="str">
        <f t="shared" ca="1" si="48"/>
        <v/>
      </c>
      <c r="Y209">
        <f t="shared" si="44"/>
        <v>1</v>
      </c>
      <c r="Z209">
        <f t="shared" si="51"/>
        <v>2</v>
      </c>
      <c r="AA209" s="18"/>
      <c r="AB209" t="str">
        <f t="shared" si="43"/>
        <v>コード番号を選択してください。</v>
      </c>
      <c r="AC209" t="s">
        <v>179</v>
      </c>
      <c r="AD209" s="18"/>
      <c r="AE209" t="str">
        <f>C208&amp;"つ目の研修が入力されていません。"&amp;CHAR(10)&amp;"詰めて入力してください。"</f>
        <v>1つ目の研修が入力されていません。
詰めて入力してください。</v>
      </c>
      <c r="AF209" t="s">
        <v>180</v>
      </c>
      <c r="AH209">
        <f t="shared" si="45"/>
        <v>9999</v>
      </c>
      <c r="AI209">
        <f>SMALL($AH$187:$AH$276,23)</f>
        <v>9999</v>
      </c>
      <c r="AJ209" t="e">
        <f t="shared" si="46"/>
        <v>#N/A</v>
      </c>
      <c r="AK209" t="str">
        <f t="shared" si="47"/>
        <v>事業場99</v>
      </c>
    </row>
    <row r="210" spans="2:37" x14ac:dyDescent="0.2">
      <c r="B210" s="5">
        <v>8</v>
      </c>
      <c r="C210" s="5">
        <v>3</v>
      </c>
      <c r="D210" s="4">
        <v>803</v>
      </c>
      <c r="E210" s="4">
        <f t="shared" si="50"/>
        <v>0</v>
      </c>
      <c r="F210" s="12">
        <f>'入力シート（2事業場以降）'!AQ148</f>
        <v>0</v>
      </c>
      <c r="G210" s="4" t="str">
        <f>IF(AND($E210=1,$F210=1),'入力シート（2事業場以降）'!F148,"")&amp;""</f>
        <v/>
      </c>
      <c r="H210" s="12" t="str">
        <f>IFERROR(VLOOKUP($G210,#REF!,3,FALSE),"")</f>
        <v/>
      </c>
      <c r="I210" s="12" t="str">
        <f>IFERROR(VLOOKUP($G210,#REF!,4,FALSE),"")</f>
        <v/>
      </c>
      <c r="J210" s="12" t="str">
        <f>IFERROR(VLOOKUP($G210,#REF!,5,FALSE),"")</f>
        <v/>
      </c>
      <c r="K210" s="12" t="str">
        <f>IFERROR(VLOOKUP($G210,#REF!,6,FALSE),"")</f>
        <v/>
      </c>
      <c r="L210" s="4" t="str">
        <f>IF(AND($E210=1,$F210=1),'入力シート（2事業場以降）'!J148,"")&amp;""</f>
        <v/>
      </c>
      <c r="M210" s="4" t="str">
        <f>IF(AND($E210=1,$F210=1),'入力シート（2事業場以降）'!N148,"")&amp;""</f>
        <v/>
      </c>
      <c r="N210" s="4" t="str">
        <f>IF(AND($E210=1,$F210=1),'入力シート（2事業場以降）'!R148,"")&amp;""</f>
        <v/>
      </c>
      <c r="O210" s="4" t="str">
        <f>IF(AND($E210=1,$F210=1),'入力シート（2事業場以降）'!V148,"")&amp;""</f>
        <v/>
      </c>
      <c r="P210" s="4" t="str">
        <f>IFERROR(VLOOKUP($G210,#REF!,10,FALSE),"")</f>
        <v/>
      </c>
      <c r="Q210" s="12" t="str">
        <f>IF(AND($E210=1,$F210=2),TRIM(CLEAN('入力シート（2事業場以降）'!#REF!)),"")&amp;""</f>
        <v/>
      </c>
      <c r="R210" s="12" t="str">
        <f>IF(AND($E210=1,$F210=2),TRIM(CLEAN('入力シート（2事業場以降）'!#REF!)),"")&amp;""</f>
        <v/>
      </c>
      <c r="S210" s="12" t="str">
        <f>IF(AND($E210=1,$F210=2),TRIM(CLEAN('入力シート（2事業場以降）'!#REF!)),"")&amp;""</f>
        <v/>
      </c>
      <c r="T210" s="12" t="str">
        <f>IF(AND($E210=1,$F210=2),TRIM(CLEAN('入力シート（2事業場以降）'!#REF!)),"")&amp;""</f>
        <v/>
      </c>
      <c r="U210" s="10" t="str">
        <f>IF(AND($E210=1,$F210=1),'入力シート（2事業場以降）'!H148,"")&amp;""</f>
        <v/>
      </c>
      <c r="W210" s="41" t="str">
        <f t="shared" ca="1" si="42"/>
        <v>OK</v>
      </c>
      <c r="X210" t="str">
        <f t="shared" ca="1" si="48"/>
        <v/>
      </c>
      <c r="Y210">
        <f t="shared" si="44"/>
        <v>1</v>
      </c>
      <c r="Z210">
        <f t="shared" si="51"/>
        <v>1</v>
      </c>
      <c r="AA210" s="18"/>
      <c r="AB210" t="str">
        <f t="shared" si="43"/>
        <v>コード番号を選択してください。</v>
      </c>
      <c r="AC210" t="s">
        <v>179</v>
      </c>
      <c r="AD210" t="str">
        <f t="shared" ref="AD210" si="58">AE209</f>
        <v>1つ目の研修が入力されていません。
詰めて入力してください。</v>
      </c>
      <c r="AE210" t="str">
        <f>C209&amp;"つ目の研修が入力されていません。"&amp;CHAR(10)&amp;"詰めて入力してください。"</f>
        <v>2つ目の研修が入力されていません。
詰めて入力してください。</v>
      </c>
      <c r="AF210" t="s">
        <v>180</v>
      </c>
      <c r="AH210">
        <f t="shared" si="45"/>
        <v>9999</v>
      </c>
      <c r="AI210">
        <f>SMALL($AH$187:$AH$276,24)</f>
        <v>9999</v>
      </c>
      <c r="AJ210" t="e">
        <f t="shared" si="46"/>
        <v>#N/A</v>
      </c>
      <c r="AK210" t="str">
        <f t="shared" si="47"/>
        <v>事業場99</v>
      </c>
    </row>
    <row r="211" spans="2:37" x14ac:dyDescent="0.2">
      <c r="B211" s="5">
        <v>9</v>
      </c>
      <c r="C211" s="5">
        <v>1</v>
      </c>
      <c r="D211" s="4">
        <v>901</v>
      </c>
      <c r="E211" s="4">
        <f t="shared" si="50"/>
        <v>0</v>
      </c>
      <c r="F211" s="12">
        <f>'入力シート（2事業場以降）'!AQ151</f>
        <v>0</v>
      </c>
      <c r="G211" s="4" t="str">
        <f>IF(AND($E211=1,$F211=1),'入力シート（2事業場以降）'!F151,"")&amp;""</f>
        <v/>
      </c>
      <c r="H211" s="12" t="str">
        <f>IFERROR(VLOOKUP($G211,#REF!,3,FALSE),"")</f>
        <v/>
      </c>
      <c r="I211" s="12" t="str">
        <f>IFERROR(VLOOKUP($G211,#REF!,4,FALSE),"")</f>
        <v/>
      </c>
      <c r="J211" s="12" t="str">
        <f>IFERROR(VLOOKUP($G211,#REF!,5,FALSE),"")</f>
        <v/>
      </c>
      <c r="K211" s="12" t="str">
        <f>IFERROR(VLOOKUP($G211,#REF!,6,FALSE),"")</f>
        <v/>
      </c>
      <c r="L211" s="4" t="str">
        <f>IF(AND($E211=1,$F211=1),'入力シート（2事業場以降）'!J151,"")&amp;""</f>
        <v/>
      </c>
      <c r="M211" s="4" t="str">
        <f>IF(AND($E211=1,$F211=1),'入力シート（2事業場以降）'!N151,"")&amp;""</f>
        <v/>
      </c>
      <c r="N211" s="4" t="str">
        <f>IF(AND($E211=1,$F211=1),'入力シート（2事業場以降）'!R151,"")&amp;""</f>
        <v/>
      </c>
      <c r="O211" s="4" t="str">
        <f>IF(AND($E211=1,$F211=1),'入力シート（2事業場以降）'!V151,"")&amp;""</f>
        <v/>
      </c>
      <c r="P211" s="4" t="str">
        <f>IFERROR(VLOOKUP($G211,#REF!,10,FALSE),"")</f>
        <v/>
      </c>
      <c r="Q211" s="12" t="str">
        <f>IF(AND($E211=1,$F211=2),TRIM(CLEAN('入力シート（2事業場以降）'!#REF!)),"")&amp;""</f>
        <v/>
      </c>
      <c r="R211" s="12" t="str">
        <f>IF(AND($E211=1,$F211=2),TRIM(CLEAN('入力シート（2事業場以降）'!#REF!)),"")&amp;""</f>
        <v/>
      </c>
      <c r="S211" s="12" t="str">
        <f>IF(AND($E211=1,$F211=2),TRIM(CLEAN('入力シート（2事業場以降）'!#REF!)),"")&amp;""</f>
        <v/>
      </c>
      <c r="T211" s="12" t="str">
        <f>IF(AND($E211=1,$F211=2),TRIM(CLEAN('入力シート（2事業場以降）'!#REF!)),"")&amp;""</f>
        <v/>
      </c>
      <c r="U211" s="10" t="str">
        <f>IF(AND($E211=1,$F211=1),'入力シート（2事業場以降）'!H151,"")&amp;""</f>
        <v/>
      </c>
      <c r="V211">
        <v>9</v>
      </c>
      <c r="W211" s="41" t="str">
        <f t="shared" ca="1" si="42"/>
        <v>OK</v>
      </c>
      <c r="X211" t="str">
        <f t="shared" ca="1" si="48"/>
        <v>コード番号を選択してください。</v>
      </c>
      <c r="Y211">
        <f t="shared" si="44"/>
        <v>1</v>
      </c>
      <c r="Z211">
        <f t="shared" si="51"/>
        <v>0</v>
      </c>
      <c r="AA211" t="str">
        <f>"コード番号を選択してください。"</f>
        <v>コード番号を選択してください。</v>
      </c>
      <c r="AB211" t="str">
        <f t="shared" si="43"/>
        <v>コード番号を選択してください。</v>
      </c>
      <c r="AC211" t="s">
        <v>179</v>
      </c>
      <c r="AD211" s="18"/>
      <c r="AE211" s="18"/>
      <c r="AF211" t="s">
        <v>180</v>
      </c>
      <c r="AH211">
        <f t="shared" si="45"/>
        <v>9999</v>
      </c>
      <c r="AI211">
        <f>SMALL($AH$187:$AH$276,25)</f>
        <v>9999</v>
      </c>
      <c r="AJ211" t="e">
        <f t="shared" si="46"/>
        <v>#N/A</v>
      </c>
      <c r="AK211" t="str">
        <f t="shared" si="47"/>
        <v>事業場99</v>
      </c>
    </row>
    <row r="212" spans="2:37" x14ac:dyDescent="0.2">
      <c r="B212" s="5">
        <v>9</v>
      </c>
      <c r="C212" s="5">
        <v>2</v>
      </c>
      <c r="D212" s="4">
        <v>902</v>
      </c>
      <c r="E212" s="4">
        <f t="shared" si="50"/>
        <v>0</v>
      </c>
      <c r="F212" s="12">
        <f>'入力シート（2事業場以降）'!AQ153</f>
        <v>0</v>
      </c>
      <c r="G212" s="4" t="str">
        <f>IF(AND($E212=1,$F212=1),'入力シート（2事業場以降）'!F153,"")&amp;""</f>
        <v/>
      </c>
      <c r="H212" s="12" t="str">
        <f>IFERROR(VLOOKUP($G212,#REF!,3,FALSE),"")</f>
        <v/>
      </c>
      <c r="I212" s="12" t="str">
        <f>IFERROR(VLOOKUP($G212,#REF!,4,FALSE),"")</f>
        <v/>
      </c>
      <c r="J212" s="12" t="str">
        <f>IFERROR(VLOOKUP($G212,#REF!,5,FALSE),"")</f>
        <v/>
      </c>
      <c r="K212" s="12" t="str">
        <f>IFERROR(VLOOKUP($G212,#REF!,6,FALSE),"")</f>
        <v/>
      </c>
      <c r="L212" s="4" t="str">
        <f>IF(AND($E212=1,$F212=1),'入力シート（2事業場以降）'!J153,"")&amp;""</f>
        <v/>
      </c>
      <c r="M212" s="4" t="str">
        <f>IF(AND($E212=1,$F212=1),'入力シート（2事業場以降）'!N153,"")&amp;""</f>
        <v/>
      </c>
      <c r="N212" s="4" t="str">
        <f>IF(AND($E212=1,$F212=1),'入力シート（2事業場以降）'!R153,"")&amp;""</f>
        <v/>
      </c>
      <c r="O212" s="4" t="str">
        <f>IF(AND($E212=1,$F212=1),'入力シート（2事業場以降）'!V153,"")&amp;""</f>
        <v/>
      </c>
      <c r="P212" s="4" t="str">
        <f>IFERROR(VLOOKUP($G212,#REF!,10,FALSE),"")</f>
        <v/>
      </c>
      <c r="Q212" s="12" t="str">
        <f>IF(AND($E212=1,$F212=2),TRIM(CLEAN('入力シート（2事業場以降）'!#REF!)),"")&amp;""</f>
        <v/>
      </c>
      <c r="R212" s="12" t="str">
        <f>IF(AND($E212=1,$F212=2),TRIM(CLEAN('入力シート（2事業場以降）'!#REF!)),"")&amp;""</f>
        <v/>
      </c>
      <c r="S212" s="12" t="str">
        <f>IF(AND($E212=1,$F212=2),TRIM(CLEAN('入力シート（2事業場以降）'!#REF!)),"")&amp;""</f>
        <v/>
      </c>
      <c r="T212" s="12" t="str">
        <f>IF(AND($E212=1,$F212=2),TRIM(CLEAN('入力シート（2事業場以降）'!#REF!)),"")&amp;""</f>
        <v/>
      </c>
      <c r="U212" s="10" t="str">
        <f>IF(AND($E212=1,$F212=1),'入力シート（2事業場以降）'!H153,"")&amp;""</f>
        <v/>
      </c>
      <c r="W212" s="41" t="str">
        <f t="shared" ca="1" si="42"/>
        <v>OK</v>
      </c>
      <c r="X212" t="str">
        <f t="shared" ca="1" si="48"/>
        <v/>
      </c>
      <c r="Y212">
        <f t="shared" si="44"/>
        <v>1</v>
      </c>
      <c r="Z212">
        <f t="shared" si="51"/>
        <v>2</v>
      </c>
      <c r="AA212" s="18"/>
      <c r="AB212" t="str">
        <f t="shared" si="43"/>
        <v>コード番号を選択してください。</v>
      </c>
      <c r="AC212" t="s">
        <v>179</v>
      </c>
      <c r="AD212" s="18"/>
      <c r="AE212" t="str">
        <f>C211&amp;"つ目の研修が入力されていません。"&amp;CHAR(10)&amp;"詰めて入力してください。"</f>
        <v>1つ目の研修が入力されていません。
詰めて入力してください。</v>
      </c>
      <c r="AF212" t="s">
        <v>180</v>
      </c>
      <c r="AH212">
        <f t="shared" si="45"/>
        <v>9999</v>
      </c>
      <c r="AI212">
        <f>SMALL($AH$187:$AH$276,26)</f>
        <v>9999</v>
      </c>
      <c r="AJ212" t="e">
        <f t="shared" si="46"/>
        <v>#N/A</v>
      </c>
      <c r="AK212" t="str">
        <f t="shared" si="47"/>
        <v>事業場99</v>
      </c>
    </row>
    <row r="213" spans="2:37" x14ac:dyDescent="0.2">
      <c r="B213" s="5">
        <v>9</v>
      </c>
      <c r="C213" s="5">
        <v>3</v>
      </c>
      <c r="D213" s="4">
        <v>903</v>
      </c>
      <c r="E213" s="4">
        <f t="shared" si="50"/>
        <v>0</v>
      </c>
      <c r="F213" s="12">
        <f>'入力シート（2事業場以降）'!AQ155</f>
        <v>0</v>
      </c>
      <c r="G213" s="4" t="str">
        <f>IF(AND($E213=1,$F213=1),'入力シート（2事業場以降）'!F155,"")&amp;""</f>
        <v/>
      </c>
      <c r="H213" s="12" t="str">
        <f>IFERROR(VLOOKUP($G213,#REF!,3,FALSE),"")</f>
        <v/>
      </c>
      <c r="I213" s="12" t="str">
        <f>IFERROR(VLOOKUP($G213,#REF!,4,FALSE),"")</f>
        <v/>
      </c>
      <c r="J213" s="12" t="str">
        <f>IFERROR(VLOOKUP($G213,#REF!,5,FALSE),"")</f>
        <v/>
      </c>
      <c r="K213" s="12" t="str">
        <f>IFERROR(VLOOKUP($G213,#REF!,6,FALSE),"")</f>
        <v/>
      </c>
      <c r="L213" s="4" t="str">
        <f>IF(AND($E213=1,$F213=1),'入力シート（2事業場以降）'!J155,"")&amp;""</f>
        <v/>
      </c>
      <c r="M213" s="4" t="str">
        <f>IF(AND($E213=1,$F213=1),'入力シート（2事業場以降）'!N155,"")&amp;""</f>
        <v/>
      </c>
      <c r="N213" s="4" t="str">
        <f>IF(AND($E213=1,$F213=1),'入力シート（2事業場以降）'!R155,"")&amp;""</f>
        <v/>
      </c>
      <c r="O213" s="4" t="str">
        <f>IF(AND($E213=1,$F213=1),'入力シート（2事業場以降）'!V155,"")&amp;""</f>
        <v/>
      </c>
      <c r="P213" s="4" t="str">
        <f>IFERROR(VLOOKUP($G213,#REF!,10,FALSE),"")</f>
        <v/>
      </c>
      <c r="Q213" s="12" t="str">
        <f>IF(AND($E213=1,$F213=2),TRIM(CLEAN('入力シート（2事業場以降）'!#REF!)),"")&amp;""</f>
        <v/>
      </c>
      <c r="R213" s="12" t="str">
        <f>IF(AND($E213=1,$F213=2),TRIM(CLEAN('入力シート（2事業場以降）'!#REF!)),"")&amp;""</f>
        <v/>
      </c>
      <c r="S213" s="12" t="str">
        <f>IF(AND($E213=1,$F213=2),TRIM(CLEAN('入力シート（2事業場以降）'!#REF!)),"")&amp;""</f>
        <v/>
      </c>
      <c r="T213" s="12" t="str">
        <f>IF(AND($E213=1,$F213=2),TRIM(CLEAN('入力シート（2事業場以降）'!#REF!)),"")&amp;""</f>
        <v/>
      </c>
      <c r="U213" s="10" t="str">
        <f>IF(AND($E213=1,$F213=1),'入力シート（2事業場以降）'!H155,"")&amp;""</f>
        <v/>
      </c>
      <c r="W213" s="41" t="str">
        <f t="shared" ca="1" si="42"/>
        <v>OK</v>
      </c>
      <c r="X213" t="str">
        <f t="shared" ca="1" si="48"/>
        <v/>
      </c>
      <c r="Y213">
        <f t="shared" si="44"/>
        <v>1</v>
      </c>
      <c r="Z213">
        <f t="shared" si="51"/>
        <v>1</v>
      </c>
      <c r="AA213" s="18"/>
      <c r="AB213" t="str">
        <f t="shared" si="43"/>
        <v>コード番号を選択してください。</v>
      </c>
      <c r="AC213" t="s">
        <v>179</v>
      </c>
      <c r="AD213" t="str">
        <f t="shared" ref="AD213" si="59">AE212</f>
        <v>1つ目の研修が入力されていません。
詰めて入力してください。</v>
      </c>
      <c r="AE213" t="str">
        <f>C212&amp;"つ目の研修が入力されていません。"&amp;CHAR(10)&amp;"詰めて入力してください。"</f>
        <v>2つ目の研修が入力されていません。
詰めて入力してください。</v>
      </c>
      <c r="AF213" t="s">
        <v>180</v>
      </c>
      <c r="AH213">
        <f t="shared" si="45"/>
        <v>9999</v>
      </c>
      <c r="AI213">
        <f>SMALL($AH$187:$AH$276,27)</f>
        <v>9999</v>
      </c>
      <c r="AJ213" t="e">
        <f t="shared" si="46"/>
        <v>#N/A</v>
      </c>
      <c r="AK213" t="str">
        <f t="shared" si="47"/>
        <v>事業場99</v>
      </c>
    </row>
    <row r="214" spans="2:37" x14ac:dyDescent="0.2">
      <c r="B214" s="5">
        <v>10</v>
      </c>
      <c r="C214" s="5">
        <v>1</v>
      </c>
      <c r="D214" s="4">
        <v>1001</v>
      </c>
      <c r="E214" s="4">
        <f t="shared" si="50"/>
        <v>0</v>
      </c>
      <c r="F214" s="12">
        <f>'入力シート（2事業場以降）'!AQ158</f>
        <v>0</v>
      </c>
      <c r="G214" s="4" t="str">
        <f>IF(AND($E214=1,$F214=1),'入力シート（2事業場以降）'!F158,"")&amp;""</f>
        <v/>
      </c>
      <c r="H214" s="12" t="str">
        <f>IFERROR(VLOOKUP($G214,#REF!,3,FALSE),"")</f>
        <v/>
      </c>
      <c r="I214" s="12" t="str">
        <f>IFERROR(VLOOKUP($G214,#REF!,4,FALSE),"")</f>
        <v/>
      </c>
      <c r="J214" s="12" t="str">
        <f>IFERROR(VLOOKUP($G214,#REF!,5,FALSE),"")</f>
        <v/>
      </c>
      <c r="K214" s="12" t="str">
        <f>IFERROR(VLOOKUP($G214,#REF!,6,FALSE),"")</f>
        <v/>
      </c>
      <c r="L214" s="4" t="str">
        <f>IF(AND($E214=1,$F214=1),'入力シート（2事業場以降）'!J158,"")&amp;""</f>
        <v/>
      </c>
      <c r="M214" s="4" t="str">
        <f>IF(AND($E214=1,$F214=1),'入力シート（2事業場以降）'!N158,"")&amp;""</f>
        <v/>
      </c>
      <c r="N214" s="4" t="str">
        <f>IF(AND($E214=1,$F214=1),'入力シート（2事業場以降）'!R158,"")&amp;""</f>
        <v/>
      </c>
      <c r="O214" s="4" t="str">
        <f>IF(AND($E214=1,$F214=1),'入力シート（2事業場以降）'!V158,"")&amp;""</f>
        <v/>
      </c>
      <c r="P214" s="4" t="str">
        <f>IFERROR(VLOOKUP($G214,#REF!,10,FALSE),"")</f>
        <v/>
      </c>
      <c r="Q214" s="12" t="str">
        <f>IF(AND($E214=1,$F214=2),TRIM(CLEAN('入力シート（2事業場以降）'!#REF!)),"")&amp;""</f>
        <v/>
      </c>
      <c r="R214" s="12" t="str">
        <f>IF(AND($E214=1,$F214=2),TRIM(CLEAN('入力シート（2事業場以降）'!#REF!)),"")&amp;""</f>
        <v/>
      </c>
      <c r="S214" s="12" t="str">
        <f>IF(AND($E214=1,$F214=2),TRIM(CLEAN('入力シート（2事業場以降）'!#REF!)),"")&amp;""</f>
        <v/>
      </c>
      <c r="T214" s="12" t="str">
        <f>IF(AND($E214=1,$F214=2),TRIM(CLEAN('入力シート（2事業場以降）'!#REF!)),"")&amp;""</f>
        <v/>
      </c>
      <c r="U214" s="10" t="str">
        <f>IF(AND($E214=1,$F214=1),'入力シート（2事業場以降）'!H158,"")&amp;""</f>
        <v/>
      </c>
      <c r="V214">
        <v>10</v>
      </c>
      <c r="W214" s="41" t="str">
        <f t="shared" ca="1" si="42"/>
        <v>OK</v>
      </c>
      <c r="X214" t="str">
        <f t="shared" ca="1" si="48"/>
        <v>コード番号を選択してください。</v>
      </c>
      <c r="Y214">
        <f t="shared" si="44"/>
        <v>1</v>
      </c>
      <c r="Z214">
        <f t="shared" si="51"/>
        <v>0</v>
      </c>
      <c r="AA214" t="str">
        <f>"コード番号を選択してください。"</f>
        <v>コード番号を選択してください。</v>
      </c>
      <c r="AB214" t="str">
        <f t="shared" si="43"/>
        <v>コード番号を選択してください。</v>
      </c>
      <c r="AC214" t="s">
        <v>179</v>
      </c>
      <c r="AD214" s="18"/>
      <c r="AE214" s="18"/>
      <c r="AF214" t="s">
        <v>180</v>
      </c>
      <c r="AH214">
        <f t="shared" si="45"/>
        <v>9999</v>
      </c>
      <c r="AI214">
        <f>SMALL($AH$187:$AH$276,28)</f>
        <v>9999</v>
      </c>
      <c r="AJ214" t="e">
        <f t="shared" si="46"/>
        <v>#N/A</v>
      </c>
      <c r="AK214" t="str">
        <f t="shared" si="47"/>
        <v>事業場99</v>
      </c>
    </row>
    <row r="215" spans="2:37" x14ac:dyDescent="0.2">
      <c r="B215" s="5">
        <v>10</v>
      </c>
      <c r="C215" s="5">
        <v>2</v>
      </c>
      <c r="D215" s="4">
        <v>1002</v>
      </c>
      <c r="E215" s="4">
        <f t="shared" si="50"/>
        <v>0</v>
      </c>
      <c r="F215" s="12">
        <f>'入力シート（2事業場以降）'!AQ160</f>
        <v>0</v>
      </c>
      <c r="G215" s="4" t="str">
        <f>IF(AND($E215=1,$F215=1),'入力シート（2事業場以降）'!F160,"")&amp;""</f>
        <v/>
      </c>
      <c r="H215" s="12" t="str">
        <f>IFERROR(VLOOKUP($G215,#REF!,3,FALSE),"")</f>
        <v/>
      </c>
      <c r="I215" s="12" t="str">
        <f>IFERROR(VLOOKUP($G215,#REF!,4,FALSE),"")</f>
        <v/>
      </c>
      <c r="J215" s="12" t="str">
        <f>IFERROR(VLOOKUP($G215,#REF!,5,FALSE),"")</f>
        <v/>
      </c>
      <c r="K215" s="12" t="str">
        <f>IFERROR(VLOOKUP($G215,#REF!,6,FALSE),"")</f>
        <v/>
      </c>
      <c r="L215" s="4" t="str">
        <f>IF(AND($E215=1,$F215=1),'入力シート（2事業場以降）'!J160,"")&amp;""</f>
        <v/>
      </c>
      <c r="M215" s="4" t="str">
        <f>IF(AND($E215=1,$F215=1),'入力シート（2事業場以降）'!N160,"")&amp;""</f>
        <v/>
      </c>
      <c r="N215" s="4" t="str">
        <f>IF(AND($E215=1,$F215=1),'入力シート（2事業場以降）'!R160,"")&amp;""</f>
        <v/>
      </c>
      <c r="O215" s="4" t="str">
        <f>IF(AND($E215=1,$F215=1),'入力シート（2事業場以降）'!V160,"")&amp;""</f>
        <v/>
      </c>
      <c r="P215" s="4" t="str">
        <f>IFERROR(VLOOKUP($G215,#REF!,10,FALSE),"")</f>
        <v/>
      </c>
      <c r="Q215" s="12" t="str">
        <f>IF(AND($E215=1,$F215=2),TRIM(CLEAN('入力シート（2事業場以降）'!#REF!)),"")&amp;""</f>
        <v/>
      </c>
      <c r="R215" s="12" t="str">
        <f>IF(AND($E215=1,$F215=2),TRIM(CLEAN('入力シート（2事業場以降）'!#REF!)),"")&amp;""</f>
        <v/>
      </c>
      <c r="S215" s="12" t="str">
        <f>IF(AND($E215=1,$F215=2),TRIM(CLEAN('入力シート（2事業場以降）'!#REF!)),"")&amp;""</f>
        <v/>
      </c>
      <c r="T215" s="12" t="str">
        <f>IF(AND($E215=1,$F215=2),TRIM(CLEAN('入力シート（2事業場以降）'!#REF!)),"")&amp;""</f>
        <v/>
      </c>
      <c r="U215" s="10" t="str">
        <f>IF(AND($E215=1,$F215=1),'入力シート（2事業場以降）'!H160,"")&amp;""</f>
        <v/>
      </c>
      <c r="W215" s="41" t="str">
        <f t="shared" ca="1" si="42"/>
        <v>OK</v>
      </c>
      <c r="X215" t="str">
        <f t="shared" ca="1" si="48"/>
        <v/>
      </c>
      <c r="Y215">
        <f t="shared" si="44"/>
        <v>1</v>
      </c>
      <c r="Z215">
        <f t="shared" si="51"/>
        <v>2</v>
      </c>
      <c r="AA215" s="18"/>
      <c r="AB215" t="str">
        <f t="shared" si="43"/>
        <v>コード番号を選択してください。</v>
      </c>
      <c r="AC215" t="s">
        <v>179</v>
      </c>
      <c r="AD215" s="18"/>
      <c r="AE215" t="str">
        <f>C214&amp;"つ目の研修が入力されていません。"&amp;CHAR(10)&amp;"詰めて入力してください。"</f>
        <v>1つ目の研修が入力されていません。
詰めて入力してください。</v>
      </c>
      <c r="AF215" t="s">
        <v>180</v>
      </c>
      <c r="AH215">
        <f t="shared" si="45"/>
        <v>9999</v>
      </c>
      <c r="AI215">
        <f>SMALL($AH$187:$AH$276,29)</f>
        <v>9999</v>
      </c>
      <c r="AJ215" t="e">
        <f t="shared" si="46"/>
        <v>#N/A</v>
      </c>
      <c r="AK215" t="str">
        <f t="shared" si="47"/>
        <v>事業場99</v>
      </c>
    </row>
    <row r="216" spans="2:37" x14ac:dyDescent="0.2">
      <c r="B216" s="5">
        <v>10</v>
      </c>
      <c r="C216" s="5">
        <v>3</v>
      </c>
      <c r="D216" s="4">
        <v>1003</v>
      </c>
      <c r="E216" s="4">
        <f t="shared" si="50"/>
        <v>0</v>
      </c>
      <c r="F216" s="12">
        <f>'入力シート（2事業場以降）'!AQ162</f>
        <v>0</v>
      </c>
      <c r="G216" s="4" t="str">
        <f>IF(AND($E216=1,$F216=1),'入力シート（2事業場以降）'!F162,"")&amp;""</f>
        <v/>
      </c>
      <c r="H216" s="12" t="str">
        <f>IFERROR(VLOOKUP($G216,#REF!,3,FALSE),"")</f>
        <v/>
      </c>
      <c r="I216" s="12" t="str">
        <f>IFERROR(VLOOKUP($G216,#REF!,4,FALSE),"")</f>
        <v/>
      </c>
      <c r="J216" s="12" t="str">
        <f>IFERROR(VLOOKUP($G216,#REF!,5,FALSE),"")</f>
        <v/>
      </c>
      <c r="K216" s="12" t="str">
        <f>IFERROR(VLOOKUP($G216,#REF!,6,FALSE),"")</f>
        <v/>
      </c>
      <c r="L216" s="4" t="str">
        <f>IF(AND($E216=1,$F216=1),'入力シート（2事業場以降）'!J162,"")&amp;""</f>
        <v/>
      </c>
      <c r="M216" s="4" t="str">
        <f>IF(AND($E216=1,$F216=1),'入力シート（2事業場以降）'!N162,"")&amp;""</f>
        <v/>
      </c>
      <c r="N216" s="4" t="str">
        <f>IF(AND($E216=1,$F216=1),'入力シート（2事業場以降）'!R162,"")&amp;""</f>
        <v/>
      </c>
      <c r="O216" s="4" t="str">
        <f>IF(AND($E216=1,$F216=1),'入力シート（2事業場以降）'!V162,"")&amp;""</f>
        <v/>
      </c>
      <c r="P216" s="4" t="str">
        <f>IFERROR(VLOOKUP($G216,#REF!,10,FALSE),"")</f>
        <v/>
      </c>
      <c r="Q216" s="12" t="str">
        <f>IF(AND($E216=1,$F216=2),TRIM(CLEAN('入力シート（2事業場以降）'!#REF!)),"")&amp;""</f>
        <v/>
      </c>
      <c r="R216" s="12" t="str">
        <f>IF(AND($E216=1,$F216=2),TRIM(CLEAN('入力シート（2事業場以降）'!#REF!)),"")&amp;""</f>
        <v/>
      </c>
      <c r="S216" s="12" t="str">
        <f>IF(AND($E216=1,$F216=2),TRIM(CLEAN('入力シート（2事業場以降）'!#REF!)),"")&amp;""</f>
        <v/>
      </c>
      <c r="T216" s="12" t="str">
        <f>IF(AND($E216=1,$F216=2),TRIM(CLEAN('入力シート（2事業場以降）'!#REF!)),"")&amp;""</f>
        <v/>
      </c>
      <c r="U216" s="10" t="str">
        <f>IF(AND($E216=1,$F216=1),'入力シート（2事業場以降）'!H162,"")&amp;""</f>
        <v/>
      </c>
      <c r="W216" s="41" t="str">
        <f t="shared" ca="1" si="42"/>
        <v>OK</v>
      </c>
      <c r="X216" t="str">
        <f t="shared" ca="1" si="48"/>
        <v/>
      </c>
      <c r="Y216">
        <f t="shared" si="44"/>
        <v>1</v>
      </c>
      <c r="Z216">
        <f t="shared" si="51"/>
        <v>1</v>
      </c>
      <c r="AA216" s="18"/>
      <c r="AB216" t="str">
        <f t="shared" si="43"/>
        <v>コード番号を選択してください。</v>
      </c>
      <c r="AC216" t="s">
        <v>179</v>
      </c>
      <c r="AD216" t="str">
        <f t="shared" ref="AD216" si="60">AE215</f>
        <v>1つ目の研修が入力されていません。
詰めて入力してください。</v>
      </c>
      <c r="AE216" t="str">
        <f>C215&amp;"つ目の研修が入力されていません。"&amp;CHAR(10)&amp;"詰めて入力してください。"</f>
        <v>2つ目の研修が入力されていません。
詰めて入力してください。</v>
      </c>
      <c r="AF216" t="s">
        <v>180</v>
      </c>
      <c r="AH216">
        <f t="shared" si="45"/>
        <v>9999</v>
      </c>
      <c r="AI216">
        <f>SMALL($AH$187:$AH$276,30)</f>
        <v>9999</v>
      </c>
      <c r="AJ216" t="e">
        <f t="shared" si="46"/>
        <v>#N/A</v>
      </c>
      <c r="AK216" t="str">
        <f t="shared" si="47"/>
        <v>事業場99</v>
      </c>
    </row>
    <row r="217" spans="2:37" x14ac:dyDescent="0.2">
      <c r="B217" s="5">
        <v>11</v>
      </c>
      <c r="C217" s="5">
        <v>1</v>
      </c>
      <c r="D217" s="4">
        <v>1101</v>
      </c>
      <c r="E217" s="4">
        <f t="shared" si="50"/>
        <v>0</v>
      </c>
      <c r="F217" s="12">
        <f>'入力シート（2事業場以降）'!AQ165</f>
        <v>0</v>
      </c>
      <c r="G217" s="4" t="str">
        <f>IF(AND($E217=1,$F217=1),'入力シート（2事業場以降）'!F165,"")&amp;""</f>
        <v/>
      </c>
      <c r="H217" s="12" t="str">
        <f>IFERROR(VLOOKUP($G217,#REF!,3,FALSE),"")</f>
        <v/>
      </c>
      <c r="I217" s="12" t="str">
        <f>IFERROR(VLOOKUP($G217,#REF!,4,FALSE),"")</f>
        <v/>
      </c>
      <c r="J217" s="12" t="str">
        <f>IFERROR(VLOOKUP($G217,#REF!,5,FALSE),"")</f>
        <v/>
      </c>
      <c r="K217" s="12" t="str">
        <f>IFERROR(VLOOKUP($G217,#REF!,6,FALSE),"")</f>
        <v/>
      </c>
      <c r="L217" s="4" t="str">
        <f>IF(AND($E217=1,$F217=1),'入力シート（2事業場以降）'!J165,"")&amp;""</f>
        <v/>
      </c>
      <c r="M217" s="4" t="str">
        <f>IF(AND($E217=1,$F217=1),'入力シート（2事業場以降）'!N165,"")&amp;""</f>
        <v/>
      </c>
      <c r="N217" s="4" t="str">
        <f>IF(AND($E217=1,$F217=1),'入力シート（2事業場以降）'!R165,"")&amp;""</f>
        <v/>
      </c>
      <c r="O217" s="4" t="str">
        <f>IF(AND($E217=1,$F217=1),'入力シート（2事業場以降）'!V165,"")&amp;""</f>
        <v/>
      </c>
      <c r="P217" s="4" t="str">
        <f>IFERROR(VLOOKUP($G217,#REF!,10,FALSE),"")</f>
        <v/>
      </c>
      <c r="Q217" s="12" t="str">
        <f>IF(AND($E217=1,$F217=2),TRIM(CLEAN('入力シート（2事業場以降）'!#REF!)),"")&amp;""</f>
        <v/>
      </c>
      <c r="R217" s="12" t="str">
        <f>IF(AND($E217=1,$F217=2),TRIM(CLEAN('入力シート（2事業場以降）'!#REF!)),"")&amp;""</f>
        <v/>
      </c>
      <c r="S217" s="12" t="str">
        <f>IF(AND($E217=1,$F217=2),TRIM(CLEAN('入力シート（2事業場以降）'!#REF!)),"")&amp;""</f>
        <v/>
      </c>
      <c r="T217" s="12" t="str">
        <f>IF(AND($E217=1,$F217=2),TRIM(CLEAN('入力シート（2事業場以降）'!#REF!)),"")&amp;""</f>
        <v/>
      </c>
      <c r="U217" s="10" t="str">
        <f>IF(AND($E217=1,$F217=1),'入力シート（2事業場以降）'!H165,"")&amp;""</f>
        <v/>
      </c>
      <c r="V217">
        <v>1</v>
      </c>
      <c r="W217" s="41" t="str">
        <f t="shared" ca="1" si="42"/>
        <v>OK</v>
      </c>
      <c r="X217" t="str">
        <f t="shared" ca="1" si="48"/>
        <v>コード番号を選択してください。</v>
      </c>
      <c r="Y217">
        <f t="shared" si="44"/>
        <v>1</v>
      </c>
      <c r="Z217">
        <f t="shared" si="51"/>
        <v>0</v>
      </c>
      <c r="AA217" t="str">
        <f>"コード番号を選択してください。"</f>
        <v>コード番号を選択してください。</v>
      </c>
      <c r="AB217" t="str">
        <f t="shared" si="43"/>
        <v>コード番号を選択してください。</v>
      </c>
      <c r="AC217" t="s">
        <v>179</v>
      </c>
      <c r="AD217" s="18"/>
      <c r="AE217" s="18"/>
      <c r="AF217" t="s">
        <v>180</v>
      </c>
      <c r="AH217">
        <f t="shared" si="45"/>
        <v>9999</v>
      </c>
      <c r="AI217">
        <f>SMALL($AH$187:$AH$276,31)</f>
        <v>9999</v>
      </c>
      <c r="AJ217" t="e">
        <f t="shared" si="46"/>
        <v>#N/A</v>
      </c>
      <c r="AK217" t="str">
        <f t="shared" si="47"/>
        <v>事業場99</v>
      </c>
    </row>
    <row r="218" spans="2:37" x14ac:dyDescent="0.2">
      <c r="B218" s="5">
        <v>11</v>
      </c>
      <c r="C218" s="5">
        <v>2</v>
      </c>
      <c r="D218" s="4">
        <v>1102</v>
      </c>
      <c r="E218" s="4">
        <f t="shared" si="50"/>
        <v>0</v>
      </c>
      <c r="F218" s="12">
        <f>'入力シート（2事業場以降）'!AQ167</f>
        <v>0</v>
      </c>
      <c r="G218" s="4" t="str">
        <f>IF(AND($E218=1,$F218=1),'入力シート（2事業場以降）'!F167,"")&amp;""</f>
        <v/>
      </c>
      <c r="H218" s="12" t="str">
        <f>IFERROR(VLOOKUP($G218,#REF!,3,FALSE),"")</f>
        <v/>
      </c>
      <c r="I218" s="12" t="str">
        <f>IFERROR(VLOOKUP($G218,#REF!,4,FALSE),"")</f>
        <v/>
      </c>
      <c r="J218" s="12" t="str">
        <f>IFERROR(VLOOKUP($G218,#REF!,5,FALSE),"")</f>
        <v/>
      </c>
      <c r="K218" s="12" t="str">
        <f>IFERROR(VLOOKUP($G218,#REF!,6,FALSE),"")</f>
        <v/>
      </c>
      <c r="L218" s="4" t="str">
        <f>IF(AND($E218=1,$F218=1),'入力シート（2事業場以降）'!J167,"")&amp;""</f>
        <v/>
      </c>
      <c r="M218" s="4" t="str">
        <f>IF(AND($E218=1,$F218=1),'入力シート（2事業場以降）'!N167,"")&amp;""</f>
        <v/>
      </c>
      <c r="N218" s="4" t="str">
        <f>IF(AND($E218=1,$F218=1),'入力シート（2事業場以降）'!R167,"")&amp;""</f>
        <v/>
      </c>
      <c r="O218" s="4" t="str">
        <f>IF(AND($E218=1,$F218=1),'入力シート（2事業場以降）'!V167,"")&amp;""</f>
        <v/>
      </c>
      <c r="P218" s="4" t="str">
        <f>IFERROR(VLOOKUP($G218,#REF!,10,FALSE),"")</f>
        <v/>
      </c>
      <c r="Q218" s="12" t="str">
        <f>IF(AND($E218=1,$F218=2),TRIM(CLEAN('入力シート（2事業場以降）'!#REF!)),"")&amp;""</f>
        <v/>
      </c>
      <c r="R218" s="12" t="str">
        <f>IF(AND($E218=1,$F218=2),TRIM(CLEAN('入力シート（2事業場以降）'!#REF!)),"")&amp;""</f>
        <v/>
      </c>
      <c r="S218" s="12" t="str">
        <f>IF(AND($E218=1,$F218=2),TRIM(CLEAN('入力シート（2事業場以降）'!#REF!)),"")&amp;""</f>
        <v/>
      </c>
      <c r="T218" s="12" t="str">
        <f>IF(AND($E218=1,$F218=2),TRIM(CLEAN('入力シート（2事業場以降）'!#REF!)),"")&amp;""</f>
        <v/>
      </c>
      <c r="U218" s="10" t="str">
        <f>IF(AND($E218=1,$F218=1),'入力シート（2事業場以降）'!H167,"")&amp;""</f>
        <v/>
      </c>
      <c r="W218" s="41" t="str">
        <f t="shared" ca="1" si="42"/>
        <v>OK</v>
      </c>
      <c r="X218" t="str">
        <f t="shared" ca="1" si="48"/>
        <v/>
      </c>
      <c r="Y218">
        <f t="shared" si="44"/>
        <v>1</v>
      </c>
      <c r="Z218">
        <f t="shared" si="51"/>
        <v>2</v>
      </c>
      <c r="AA218" s="18"/>
      <c r="AB218" t="str">
        <f t="shared" si="43"/>
        <v>コード番号を選択してください。</v>
      </c>
      <c r="AC218" t="s">
        <v>179</v>
      </c>
      <c r="AD218" s="18"/>
      <c r="AE218" t="str">
        <f>C217&amp;"つ目の研修が入力されていません。"&amp;CHAR(10)&amp;"詰めて入力してください。"</f>
        <v>1つ目の研修が入力されていません。
詰めて入力してください。</v>
      </c>
      <c r="AF218" t="s">
        <v>180</v>
      </c>
      <c r="AH218">
        <f t="shared" si="45"/>
        <v>9999</v>
      </c>
      <c r="AI218">
        <f>SMALL($AH$187:$AH$276,32)</f>
        <v>9999</v>
      </c>
      <c r="AJ218" t="e">
        <f t="shared" si="46"/>
        <v>#N/A</v>
      </c>
      <c r="AK218" t="str">
        <f t="shared" si="47"/>
        <v>事業場99</v>
      </c>
    </row>
    <row r="219" spans="2:37" x14ac:dyDescent="0.2">
      <c r="B219" s="5">
        <v>11</v>
      </c>
      <c r="C219" s="5">
        <v>3</v>
      </c>
      <c r="D219" s="4">
        <v>1103</v>
      </c>
      <c r="E219" s="4">
        <f t="shared" si="50"/>
        <v>0</v>
      </c>
      <c r="F219" s="12">
        <f>'入力シート（2事業場以降）'!AQ169</f>
        <v>0</v>
      </c>
      <c r="G219" s="4" t="str">
        <f>IF(AND($E219=1,$F219=1),'入力シート（2事業場以降）'!F169,"")&amp;""</f>
        <v/>
      </c>
      <c r="H219" s="12" t="str">
        <f>IFERROR(VLOOKUP($G219,#REF!,3,FALSE),"")</f>
        <v/>
      </c>
      <c r="I219" s="12" t="str">
        <f>IFERROR(VLOOKUP($G219,#REF!,4,FALSE),"")</f>
        <v/>
      </c>
      <c r="J219" s="12" t="str">
        <f>IFERROR(VLOOKUP($G219,#REF!,5,FALSE),"")</f>
        <v/>
      </c>
      <c r="K219" s="12" t="str">
        <f>IFERROR(VLOOKUP($G219,#REF!,6,FALSE),"")</f>
        <v/>
      </c>
      <c r="L219" s="4" t="str">
        <f>IF(AND($E219=1,$F219=1),'入力シート（2事業場以降）'!J169,"")&amp;""</f>
        <v/>
      </c>
      <c r="M219" s="4" t="str">
        <f>IF(AND($E219=1,$F219=1),'入力シート（2事業場以降）'!N169,"")&amp;""</f>
        <v/>
      </c>
      <c r="N219" s="4" t="str">
        <f>IF(AND($E219=1,$F219=1),'入力シート（2事業場以降）'!R169,"")&amp;""</f>
        <v/>
      </c>
      <c r="O219" s="4" t="str">
        <f>IF(AND($E219=1,$F219=1),'入力シート（2事業場以降）'!V169,"")&amp;""</f>
        <v/>
      </c>
      <c r="P219" s="4" t="str">
        <f>IFERROR(VLOOKUP($G219,#REF!,10,FALSE),"")</f>
        <v/>
      </c>
      <c r="Q219" s="12" t="str">
        <f>IF(AND($E219=1,$F219=2),TRIM(CLEAN('入力シート（2事業場以降）'!#REF!)),"")&amp;""</f>
        <v/>
      </c>
      <c r="R219" s="12" t="str">
        <f>IF(AND($E219=1,$F219=2),TRIM(CLEAN('入力シート（2事業場以降）'!#REF!)),"")&amp;""</f>
        <v/>
      </c>
      <c r="S219" s="12" t="str">
        <f>IF(AND($E219=1,$F219=2),TRIM(CLEAN('入力シート（2事業場以降）'!#REF!)),"")&amp;""</f>
        <v/>
      </c>
      <c r="T219" s="12" t="str">
        <f>IF(AND($E219=1,$F219=2),TRIM(CLEAN('入力シート（2事業場以降）'!#REF!)),"")&amp;""</f>
        <v/>
      </c>
      <c r="U219" s="10" t="str">
        <f>IF(AND($E219=1,$F219=1),'入力シート（2事業場以降）'!H169,"")&amp;""</f>
        <v/>
      </c>
      <c r="W219" s="41" t="str">
        <f t="shared" ref="W219:W250" ca="1" si="61">IF(AND(B219&lt;=$G$3,X219&lt;&gt;""),IF(X219="OK",X219,"NG"),"OK")</f>
        <v>OK</v>
      </c>
      <c r="X219" t="str">
        <f t="shared" ca="1" si="48"/>
        <v/>
      </c>
      <c r="Y219">
        <f t="shared" si="44"/>
        <v>1</v>
      </c>
      <c r="Z219">
        <f t="shared" si="51"/>
        <v>1</v>
      </c>
      <c r="AA219" s="18"/>
      <c r="AB219" t="str">
        <f t="shared" ref="AB219:AB250" si="62">$G$186&amp;"を選択してください。"</f>
        <v>コード番号を選択してください。</v>
      </c>
      <c r="AC219" t="s">
        <v>179</v>
      </c>
      <c r="AD219" t="str">
        <f t="shared" ref="AD219" si="63">AE218</f>
        <v>1つ目の研修が入力されていません。
詰めて入力してください。</v>
      </c>
      <c r="AE219" t="str">
        <f>C218&amp;"つ目の研修が入力されていません。"&amp;CHAR(10)&amp;"詰めて入力してください。"</f>
        <v>2つ目の研修が入力されていません。
詰めて入力してください。</v>
      </c>
      <c r="AF219" t="s">
        <v>180</v>
      </c>
      <c r="AH219">
        <f t="shared" si="45"/>
        <v>9999</v>
      </c>
      <c r="AI219">
        <f>SMALL($AH$187:$AH$276,33)</f>
        <v>9999</v>
      </c>
      <c r="AJ219" t="e">
        <f t="shared" si="46"/>
        <v>#N/A</v>
      </c>
      <c r="AK219" t="str">
        <f t="shared" si="47"/>
        <v>事業場99</v>
      </c>
    </row>
    <row r="220" spans="2:37" x14ac:dyDescent="0.2">
      <c r="B220" s="5">
        <v>12</v>
      </c>
      <c r="C220" s="5">
        <v>1</v>
      </c>
      <c r="D220" s="4">
        <v>1201</v>
      </c>
      <c r="E220" s="4">
        <f t="shared" si="50"/>
        <v>0</v>
      </c>
      <c r="F220" s="12">
        <f>'入力シート（2事業場以降）'!AQ172</f>
        <v>0</v>
      </c>
      <c r="G220" s="4" t="str">
        <f>IF(AND($E220=1,$F220=1),'入力シート（2事業場以降）'!F172,"")&amp;""</f>
        <v/>
      </c>
      <c r="H220" s="12" t="str">
        <f>IFERROR(VLOOKUP($G220,#REF!,3,FALSE),"")</f>
        <v/>
      </c>
      <c r="I220" s="12" t="str">
        <f>IFERROR(VLOOKUP($G220,#REF!,4,FALSE),"")</f>
        <v/>
      </c>
      <c r="J220" s="12" t="str">
        <f>IFERROR(VLOOKUP($G220,#REF!,5,FALSE),"")</f>
        <v/>
      </c>
      <c r="K220" s="12" t="str">
        <f>IFERROR(VLOOKUP($G220,#REF!,6,FALSE),"")</f>
        <v/>
      </c>
      <c r="L220" s="4" t="str">
        <f>IF(AND($E220=1,$F220=1),'入力シート（2事業場以降）'!J172,"")&amp;""</f>
        <v/>
      </c>
      <c r="M220" s="4" t="str">
        <f>IF(AND($E220=1,$F220=1),'入力シート（2事業場以降）'!N172,"")&amp;""</f>
        <v/>
      </c>
      <c r="N220" s="4" t="str">
        <f>IF(AND($E220=1,$F220=1),'入力シート（2事業場以降）'!R172,"")&amp;""</f>
        <v/>
      </c>
      <c r="O220" s="4" t="str">
        <f>IF(AND($E220=1,$F220=1),'入力シート（2事業場以降）'!V172,"")&amp;""</f>
        <v/>
      </c>
      <c r="P220" s="4" t="str">
        <f>IFERROR(VLOOKUP($G220,#REF!,10,FALSE),"")</f>
        <v/>
      </c>
      <c r="Q220" s="12" t="str">
        <f>IF(AND($E220=1,$F220=2),TRIM(CLEAN('入力シート（2事業場以降）'!#REF!)),"")&amp;""</f>
        <v/>
      </c>
      <c r="R220" s="12" t="str">
        <f>IF(AND($E220=1,$F220=2),TRIM(CLEAN('入力シート（2事業場以降）'!#REF!)),"")&amp;""</f>
        <v/>
      </c>
      <c r="S220" s="12" t="str">
        <f>IF(AND($E220=1,$F220=2),TRIM(CLEAN('入力シート（2事業場以降）'!#REF!)),"")&amp;""</f>
        <v/>
      </c>
      <c r="T220" s="12" t="str">
        <f>IF(AND($E220=1,$F220=2),TRIM(CLEAN('入力シート（2事業場以降）'!#REF!)),"")&amp;""</f>
        <v/>
      </c>
      <c r="U220" s="10" t="str">
        <f>IF(AND($E220=1,$F220=1),'入力シート（2事業場以降）'!H172,"")&amp;""</f>
        <v/>
      </c>
      <c r="V220">
        <v>2</v>
      </c>
      <c r="W220" s="41" t="str">
        <f t="shared" ca="1" si="61"/>
        <v>OK</v>
      </c>
      <c r="X220" t="str">
        <f t="shared" ca="1" si="48"/>
        <v>コード番号を選択してください。</v>
      </c>
      <c r="Y220">
        <f t="shared" si="44"/>
        <v>1</v>
      </c>
      <c r="Z220">
        <f t="shared" si="51"/>
        <v>0</v>
      </c>
      <c r="AA220" t="str">
        <f>"コード番号を選択してください。"</f>
        <v>コード番号を選択してください。</v>
      </c>
      <c r="AB220" t="str">
        <f t="shared" si="62"/>
        <v>コード番号を選択してください。</v>
      </c>
      <c r="AC220" t="s">
        <v>179</v>
      </c>
      <c r="AD220" s="18"/>
      <c r="AE220" s="18"/>
      <c r="AF220" t="s">
        <v>180</v>
      </c>
      <c r="AH220">
        <f t="shared" si="45"/>
        <v>9999</v>
      </c>
      <c r="AI220">
        <f>SMALL($AH$187:$AH$276,34)</f>
        <v>9999</v>
      </c>
      <c r="AJ220" t="e">
        <f t="shared" si="46"/>
        <v>#N/A</v>
      </c>
      <c r="AK220" t="str">
        <f t="shared" si="47"/>
        <v>事業場99</v>
      </c>
    </row>
    <row r="221" spans="2:37" x14ac:dyDescent="0.2">
      <c r="B221" s="5">
        <v>12</v>
      </c>
      <c r="C221" s="5">
        <v>2</v>
      </c>
      <c r="D221" s="4">
        <v>1202</v>
      </c>
      <c r="E221" s="4">
        <f t="shared" si="50"/>
        <v>0</v>
      </c>
      <c r="F221" s="12">
        <f>'入力シート（2事業場以降）'!AQ174</f>
        <v>0</v>
      </c>
      <c r="G221" s="4" t="str">
        <f>IF(AND($E221=1,$F221=1),'入力シート（2事業場以降）'!F174,"")&amp;""</f>
        <v/>
      </c>
      <c r="H221" s="12" t="str">
        <f>IFERROR(VLOOKUP($G221,#REF!,3,FALSE),"")</f>
        <v/>
      </c>
      <c r="I221" s="12" t="str">
        <f>IFERROR(VLOOKUP($G221,#REF!,4,FALSE),"")</f>
        <v/>
      </c>
      <c r="J221" s="12" t="str">
        <f>IFERROR(VLOOKUP($G221,#REF!,5,FALSE),"")</f>
        <v/>
      </c>
      <c r="K221" s="12" t="str">
        <f>IFERROR(VLOOKUP($G221,#REF!,6,FALSE),"")</f>
        <v/>
      </c>
      <c r="L221" s="4" t="str">
        <f>IF(AND($E221=1,$F221=1),'入力シート（2事業場以降）'!J174,"")&amp;""</f>
        <v/>
      </c>
      <c r="M221" s="4" t="str">
        <f>IF(AND($E221=1,$F221=1),'入力シート（2事業場以降）'!N174,"")&amp;""</f>
        <v/>
      </c>
      <c r="N221" s="4" t="str">
        <f>IF(AND($E221=1,$F221=1),'入力シート（2事業場以降）'!R174,"")&amp;""</f>
        <v/>
      </c>
      <c r="O221" s="4" t="str">
        <f>IF(AND($E221=1,$F221=1),'入力シート（2事業場以降）'!V174,"")&amp;""</f>
        <v/>
      </c>
      <c r="P221" s="4" t="str">
        <f>IFERROR(VLOOKUP($G221,#REF!,10,FALSE),"")</f>
        <v/>
      </c>
      <c r="Q221" s="12" t="str">
        <f>IF(AND($E221=1,$F221=2),TRIM(CLEAN('入力シート（2事業場以降）'!#REF!)),"")&amp;""</f>
        <v/>
      </c>
      <c r="R221" s="12" t="str">
        <f>IF(AND($E221=1,$F221=2),TRIM(CLEAN('入力シート（2事業場以降）'!#REF!)),"")&amp;""</f>
        <v/>
      </c>
      <c r="S221" s="12" t="str">
        <f>IF(AND($E221=1,$F221=2),TRIM(CLEAN('入力シート（2事業場以降）'!#REF!)),"")&amp;""</f>
        <v/>
      </c>
      <c r="T221" s="12" t="str">
        <f>IF(AND($E221=1,$F221=2),TRIM(CLEAN('入力シート（2事業場以降）'!#REF!)),"")&amp;""</f>
        <v/>
      </c>
      <c r="U221" s="10" t="str">
        <f>IF(AND($E221=1,$F221=1),'入力シート（2事業場以降）'!H174,"")&amp;""</f>
        <v/>
      </c>
      <c r="W221" s="41" t="str">
        <f t="shared" ca="1" si="61"/>
        <v>OK</v>
      </c>
      <c r="X221" t="str">
        <f t="shared" ca="1" si="48"/>
        <v/>
      </c>
      <c r="Y221">
        <f t="shared" si="44"/>
        <v>1</v>
      </c>
      <c r="Z221">
        <f t="shared" si="51"/>
        <v>2</v>
      </c>
      <c r="AA221" s="18"/>
      <c r="AB221" t="str">
        <f t="shared" si="62"/>
        <v>コード番号を選択してください。</v>
      </c>
      <c r="AC221" t="s">
        <v>179</v>
      </c>
      <c r="AD221" s="18"/>
      <c r="AE221" t="str">
        <f>C220&amp;"つ目の研修が入力されていません。"&amp;CHAR(10)&amp;"詰めて入力してください。"</f>
        <v>1つ目の研修が入力されていません。
詰めて入力してください。</v>
      </c>
      <c r="AF221" t="s">
        <v>180</v>
      </c>
      <c r="AH221">
        <f t="shared" si="45"/>
        <v>9999</v>
      </c>
      <c r="AI221">
        <f>SMALL($AH$187:$AH$276,35)</f>
        <v>9999</v>
      </c>
      <c r="AJ221" t="e">
        <f t="shared" si="46"/>
        <v>#N/A</v>
      </c>
      <c r="AK221" t="str">
        <f t="shared" si="47"/>
        <v>事業場99</v>
      </c>
    </row>
    <row r="222" spans="2:37" x14ac:dyDescent="0.2">
      <c r="B222" s="5">
        <v>12</v>
      </c>
      <c r="C222" s="5">
        <v>3</v>
      </c>
      <c r="D222" s="4">
        <v>1203</v>
      </c>
      <c r="E222" s="4">
        <f t="shared" ref="E222:E253" si="64">IF(AND(B316&lt;=$G$3),1,0)</f>
        <v>0</v>
      </c>
      <c r="F222" s="12">
        <f>'入力シート（2事業場以降）'!AQ176</f>
        <v>0</v>
      </c>
      <c r="G222" s="4" t="str">
        <f>IF(AND($E222=1,$F222=1),'入力シート（2事業場以降）'!F176,"")&amp;""</f>
        <v/>
      </c>
      <c r="H222" s="12" t="str">
        <f>IFERROR(VLOOKUP($G222,#REF!,3,FALSE),"")</f>
        <v/>
      </c>
      <c r="I222" s="12" t="str">
        <f>IFERROR(VLOOKUP($G222,#REF!,4,FALSE),"")</f>
        <v/>
      </c>
      <c r="J222" s="12" t="str">
        <f>IFERROR(VLOOKUP($G222,#REF!,5,FALSE),"")</f>
        <v/>
      </c>
      <c r="K222" s="12" t="str">
        <f>IFERROR(VLOOKUP($G222,#REF!,6,FALSE),"")</f>
        <v/>
      </c>
      <c r="L222" s="4" t="str">
        <f>IF(AND($E222=1,$F222=1),'入力シート（2事業場以降）'!J176,"")&amp;""</f>
        <v/>
      </c>
      <c r="M222" s="4" t="str">
        <f>IF(AND($E222=1,$F222=1),'入力シート（2事業場以降）'!N176,"")&amp;""</f>
        <v/>
      </c>
      <c r="N222" s="4" t="str">
        <f>IF(AND($E222=1,$F222=1),'入力シート（2事業場以降）'!R176,"")&amp;""</f>
        <v/>
      </c>
      <c r="O222" s="4" t="str">
        <f>IF(AND($E222=1,$F222=1),'入力シート（2事業場以降）'!V176,"")&amp;""</f>
        <v/>
      </c>
      <c r="P222" s="4" t="str">
        <f>IFERROR(VLOOKUP($G222,#REF!,10,FALSE),"")</f>
        <v/>
      </c>
      <c r="Q222" s="12" t="str">
        <f>IF(AND($E222=1,$F222=2),TRIM(CLEAN('入力シート（2事業場以降）'!#REF!)),"")&amp;""</f>
        <v/>
      </c>
      <c r="R222" s="12" t="str">
        <f>IF(AND($E222=1,$F222=2),TRIM(CLEAN('入力シート（2事業場以降）'!#REF!)),"")&amp;""</f>
        <v/>
      </c>
      <c r="S222" s="12" t="str">
        <f>IF(AND($E222=1,$F222=2),TRIM(CLEAN('入力シート（2事業場以降）'!#REF!)),"")&amp;""</f>
        <v/>
      </c>
      <c r="T222" s="12" t="str">
        <f>IF(AND($E222=1,$F222=2),TRIM(CLEAN('入力シート（2事業場以降）'!#REF!)),"")&amp;""</f>
        <v/>
      </c>
      <c r="U222" s="10" t="str">
        <f>IF(AND($E222=1,$F222=1),'入力シート（2事業場以降）'!H176,"")&amp;""</f>
        <v/>
      </c>
      <c r="W222" s="41" t="str">
        <f t="shared" ca="1" si="61"/>
        <v>OK</v>
      </c>
      <c r="X222" t="str">
        <f t="shared" ca="1" si="48"/>
        <v/>
      </c>
      <c r="Y222">
        <f t="shared" si="44"/>
        <v>1</v>
      </c>
      <c r="Z222">
        <f t="shared" si="51"/>
        <v>1</v>
      </c>
      <c r="AA222" s="18"/>
      <c r="AB222" t="str">
        <f t="shared" si="62"/>
        <v>コード番号を選択してください。</v>
      </c>
      <c r="AC222" t="s">
        <v>179</v>
      </c>
      <c r="AD222" t="str">
        <f t="shared" ref="AD222" si="65">AE221</f>
        <v>1つ目の研修が入力されていません。
詰めて入力してください。</v>
      </c>
      <c r="AE222" t="str">
        <f>C221&amp;"つ目の研修が入力されていません。"&amp;CHAR(10)&amp;"詰めて入力してください。"</f>
        <v>2つ目の研修が入力されていません。
詰めて入力してください。</v>
      </c>
      <c r="AF222" t="s">
        <v>180</v>
      </c>
      <c r="AH222">
        <f t="shared" si="45"/>
        <v>9999</v>
      </c>
      <c r="AI222">
        <f>SMALL($AH$187:$AH$276,36)</f>
        <v>9999</v>
      </c>
      <c r="AJ222" t="e">
        <f t="shared" si="46"/>
        <v>#N/A</v>
      </c>
      <c r="AK222" t="str">
        <f t="shared" si="47"/>
        <v>事業場99</v>
      </c>
    </row>
    <row r="223" spans="2:37" x14ac:dyDescent="0.2">
      <c r="B223" s="5">
        <v>13</v>
      </c>
      <c r="C223" s="5">
        <v>1</v>
      </c>
      <c r="D223" s="4">
        <v>1301</v>
      </c>
      <c r="E223" s="4">
        <f t="shared" si="64"/>
        <v>0</v>
      </c>
      <c r="F223" s="12">
        <f>'入力シート（2事業場以降）'!AQ179</f>
        <v>0</v>
      </c>
      <c r="G223" s="4" t="str">
        <f>IF(AND($E223=1,$F223=1),'入力シート（2事業場以降）'!F179,"")&amp;""</f>
        <v/>
      </c>
      <c r="H223" s="12" t="str">
        <f>IFERROR(VLOOKUP($G223,#REF!,3,FALSE),"")</f>
        <v/>
      </c>
      <c r="I223" s="12" t="str">
        <f>IFERROR(VLOOKUP($G223,#REF!,4,FALSE),"")</f>
        <v/>
      </c>
      <c r="J223" s="12" t="str">
        <f>IFERROR(VLOOKUP($G223,#REF!,5,FALSE),"")</f>
        <v/>
      </c>
      <c r="K223" s="12" t="str">
        <f>IFERROR(VLOOKUP($G223,#REF!,6,FALSE),"")</f>
        <v/>
      </c>
      <c r="L223" s="4" t="str">
        <f>IF(AND($E223=1,$F223=1),'入力シート（2事業場以降）'!J179,"")&amp;""</f>
        <v/>
      </c>
      <c r="M223" s="4" t="str">
        <f>IF(AND($E223=1,$F223=1),'入力シート（2事業場以降）'!N179,"")&amp;""</f>
        <v/>
      </c>
      <c r="N223" s="4" t="str">
        <f>IF(AND($E223=1,$F223=1),'入力シート（2事業場以降）'!R179,"")&amp;""</f>
        <v/>
      </c>
      <c r="O223" s="4" t="str">
        <f>IF(AND($E223=1,$F223=1),'入力シート（2事業場以降）'!V179,"")&amp;""</f>
        <v/>
      </c>
      <c r="P223" s="4" t="str">
        <f>IFERROR(VLOOKUP($G223,#REF!,10,FALSE),"")</f>
        <v/>
      </c>
      <c r="Q223" s="12" t="str">
        <f>IF(AND($E223=1,$F223=2),TRIM(CLEAN('入力シート（2事業場以降）'!#REF!)),"")&amp;""</f>
        <v/>
      </c>
      <c r="R223" s="12" t="str">
        <f>IF(AND($E223=1,$F223=2),TRIM(CLEAN('入力シート（2事業場以降）'!#REF!)),"")&amp;""</f>
        <v/>
      </c>
      <c r="S223" s="12" t="str">
        <f>IF(AND($E223=1,$F223=2),TRIM(CLEAN('入力シート（2事業場以降）'!#REF!)),"")&amp;""</f>
        <v/>
      </c>
      <c r="T223" s="12" t="str">
        <f>IF(AND($E223=1,$F223=2),TRIM(CLEAN('入力シート（2事業場以降）'!#REF!)),"")&amp;""</f>
        <v/>
      </c>
      <c r="U223" s="10" t="str">
        <f>IF(AND($E223=1,$F223=1),'入力シート（2事業場以降）'!H179,"")&amp;""</f>
        <v/>
      </c>
      <c r="V223">
        <v>3</v>
      </c>
      <c r="W223" s="41" t="str">
        <f t="shared" ca="1" si="61"/>
        <v>OK</v>
      </c>
      <c r="X223" t="str">
        <f t="shared" ca="1" si="48"/>
        <v>コード番号を選択してください。</v>
      </c>
      <c r="Y223">
        <f t="shared" si="44"/>
        <v>1</v>
      </c>
      <c r="Z223">
        <f t="shared" si="51"/>
        <v>0</v>
      </c>
      <c r="AA223" t="str">
        <f>"コード番号を選択してください。"</f>
        <v>コード番号を選択してください。</v>
      </c>
      <c r="AB223" t="str">
        <f t="shared" si="62"/>
        <v>コード番号を選択してください。</v>
      </c>
      <c r="AC223" t="s">
        <v>179</v>
      </c>
      <c r="AD223" s="18"/>
      <c r="AE223" s="18"/>
      <c r="AF223" t="s">
        <v>180</v>
      </c>
      <c r="AH223">
        <f t="shared" si="45"/>
        <v>9999</v>
      </c>
      <c r="AI223">
        <f>SMALL($AH$187:$AH$276,37)</f>
        <v>9999</v>
      </c>
      <c r="AJ223" t="e">
        <f t="shared" si="46"/>
        <v>#N/A</v>
      </c>
      <c r="AK223" t="str">
        <f t="shared" si="47"/>
        <v>事業場99</v>
      </c>
    </row>
    <row r="224" spans="2:37" x14ac:dyDescent="0.2">
      <c r="B224" s="5">
        <v>13</v>
      </c>
      <c r="C224" s="5">
        <v>2</v>
      </c>
      <c r="D224" s="4">
        <v>1302</v>
      </c>
      <c r="E224" s="4">
        <f t="shared" si="64"/>
        <v>0</v>
      </c>
      <c r="F224" s="12">
        <f>'入力シート（2事業場以降）'!AQ181</f>
        <v>0</v>
      </c>
      <c r="G224" s="4" t="str">
        <f>IF(AND($E224=1,$F224=1),'入力シート（2事業場以降）'!F181,"")&amp;""</f>
        <v/>
      </c>
      <c r="H224" s="12" t="str">
        <f>IFERROR(VLOOKUP($G224,#REF!,3,FALSE),"")</f>
        <v/>
      </c>
      <c r="I224" s="12" t="str">
        <f>IFERROR(VLOOKUP($G224,#REF!,4,FALSE),"")</f>
        <v/>
      </c>
      <c r="J224" s="12" t="str">
        <f>IFERROR(VLOOKUP($G224,#REF!,5,FALSE),"")</f>
        <v/>
      </c>
      <c r="K224" s="12" t="str">
        <f>IFERROR(VLOOKUP($G224,#REF!,6,FALSE),"")</f>
        <v/>
      </c>
      <c r="L224" s="4" t="str">
        <f>IF(AND($E224=1,$F224=1),'入力シート（2事業場以降）'!J181,"")&amp;""</f>
        <v/>
      </c>
      <c r="M224" s="4" t="str">
        <f>IF(AND($E224=1,$F224=1),'入力シート（2事業場以降）'!N181,"")&amp;""</f>
        <v/>
      </c>
      <c r="N224" s="4" t="str">
        <f>IF(AND($E224=1,$F224=1),'入力シート（2事業場以降）'!R181,"")&amp;""</f>
        <v/>
      </c>
      <c r="O224" s="4" t="str">
        <f>IF(AND($E224=1,$F224=1),'入力シート（2事業場以降）'!V181,"")&amp;""</f>
        <v/>
      </c>
      <c r="P224" s="4" t="str">
        <f>IFERROR(VLOOKUP($G224,#REF!,10,FALSE),"")</f>
        <v/>
      </c>
      <c r="Q224" s="12" t="str">
        <f>IF(AND($E224=1,$F224=2),TRIM(CLEAN('入力シート（2事業場以降）'!#REF!)),"")&amp;""</f>
        <v/>
      </c>
      <c r="R224" s="12" t="str">
        <f>IF(AND($E224=1,$F224=2),TRIM(CLEAN('入力シート（2事業場以降）'!#REF!)),"")&amp;""</f>
        <v/>
      </c>
      <c r="S224" s="12" t="str">
        <f>IF(AND($E224=1,$F224=2),TRIM(CLEAN('入力シート（2事業場以降）'!#REF!)),"")&amp;""</f>
        <v/>
      </c>
      <c r="T224" s="12" t="str">
        <f>IF(AND($E224=1,$F224=2),TRIM(CLEAN('入力シート（2事業場以降）'!#REF!)),"")&amp;""</f>
        <v/>
      </c>
      <c r="U224" s="10" t="str">
        <f>IF(AND($E224=1,$F224=1),'入力シート（2事業場以降）'!H181,"")&amp;""</f>
        <v/>
      </c>
      <c r="W224" s="41" t="str">
        <f t="shared" ca="1" si="61"/>
        <v>OK</v>
      </c>
      <c r="X224" t="str">
        <f t="shared" ca="1" si="48"/>
        <v/>
      </c>
      <c r="Y224">
        <f t="shared" si="44"/>
        <v>1</v>
      </c>
      <c r="Z224">
        <f t="shared" si="51"/>
        <v>2</v>
      </c>
      <c r="AA224" s="18"/>
      <c r="AB224" t="str">
        <f t="shared" si="62"/>
        <v>コード番号を選択してください。</v>
      </c>
      <c r="AC224" t="s">
        <v>179</v>
      </c>
      <c r="AD224" s="18"/>
      <c r="AE224" t="str">
        <f>C223&amp;"つ目の研修が入力されていません。"&amp;CHAR(10)&amp;"詰めて入力してください。"</f>
        <v>1つ目の研修が入力されていません。
詰めて入力してください。</v>
      </c>
      <c r="AF224" t="s">
        <v>180</v>
      </c>
      <c r="AH224">
        <f t="shared" si="45"/>
        <v>9999</v>
      </c>
      <c r="AI224">
        <f>SMALL($AH$187:$AH$276,38)</f>
        <v>9999</v>
      </c>
      <c r="AJ224" t="e">
        <f t="shared" si="46"/>
        <v>#N/A</v>
      </c>
      <c r="AK224" t="str">
        <f t="shared" si="47"/>
        <v>事業場99</v>
      </c>
    </row>
    <row r="225" spans="2:37" x14ac:dyDescent="0.2">
      <c r="B225" s="5">
        <v>13</v>
      </c>
      <c r="C225" s="5">
        <v>3</v>
      </c>
      <c r="D225" s="4">
        <v>1303</v>
      </c>
      <c r="E225" s="4">
        <f t="shared" si="64"/>
        <v>0</v>
      </c>
      <c r="F225" s="12">
        <f>'入力シート（2事業場以降）'!AQ183</f>
        <v>0</v>
      </c>
      <c r="G225" s="4" t="str">
        <f>IF(AND($E225=1,$F225=1),'入力シート（2事業場以降）'!F183,"")&amp;""</f>
        <v/>
      </c>
      <c r="H225" s="12" t="str">
        <f>IFERROR(VLOOKUP($G225,#REF!,3,FALSE),"")</f>
        <v/>
      </c>
      <c r="I225" s="12" t="str">
        <f>IFERROR(VLOOKUP($G225,#REF!,4,FALSE),"")</f>
        <v/>
      </c>
      <c r="J225" s="12" t="str">
        <f>IFERROR(VLOOKUP($G225,#REF!,5,FALSE),"")</f>
        <v/>
      </c>
      <c r="K225" s="12" t="str">
        <f>IFERROR(VLOOKUP($G225,#REF!,6,FALSE),"")</f>
        <v/>
      </c>
      <c r="L225" s="4" t="str">
        <f>IF(AND($E225=1,$F225=1),'入力シート（2事業場以降）'!J183,"")&amp;""</f>
        <v/>
      </c>
      <c r="M225" s="4" t="str">
        <f>IF(AND($E225=1,$F225=1),'入力シート（2事業場以降）'!N183,"")&amp;""</f>
        <v/>
      </c>
      <c r="N225" s="4" t="str">
        <f>IF(AND($E225=1,$F225=1),'入力シート（2事業場以降）'!R183,"")&amp;""</f>
        <v/>
      </c>
      <c r="O225" s="4" t="str">
        <f>IF(AND($E225=1,$F225=1),'入力シート（2事業場以降）'!V183,"")&amp;""</f>
        <v/>
      </c>
      <c r="P225" s="4" t="str">
        <f>IFERROR(VLOOKUP($G225,#REF!,10,FALSE),"")</f>
        <v/>
      </c>
      <c r="Q225" s="12" t="str">
        <f>IF(AND($E225=1,$F225=2),TRIM(CLEAN('入力シート（2事業場以降）'!#REF!)),"")&amp;""</f>
        <v/>
      </c>
      <c r="R225" s="12" t="str">
        <f>IF(AND($E225=1,$F225=2),TRIM(CLEAN('入力シート（2事業場以降）'!#REF!)),"")&amp;""</f>
        <v/>
      </c>
      <c r="S225" s="12" t="str">
        <f>IF(AND($E225=1,$F225=2),TRIM(CLEAN('入力シート（2事業場以降）'!#REF!)),"")&amp;""</f>
        <v/>
      </c>
      <c r="T225" s="12" t="str">
        <f>IF(AND($E225=1,$F225=2),TRIM(CLEAN('入力シート（2事業場以降）'!#REF!)),"")&amp;""</f>
        <v/>
      </c>
      <c r="U225" s="10" t="str">
        <f>IF(AND($E225=1,$F225=1),'入力シート（2事業場以降）'!H183,"")&amp;""</f>
        <v/>
      </c>
      <c r="W225" s="41" t="str">
        <f t="shared" ca="1" si="61"/>
        <v>OK</v>
      </c>
      <c r="X225" t="str">
        <f t="shared" ca="1" si="48"/>
        <v/>
      </c>
      <c r="Y225">
        <f t="shared" si="44"/>
        <v>1</v>
      </c>
      <c r="Z225">
        <f t="shared" si="51"/>
        <v>1</v>
      </c>
      <c r="AA225" s="18"/>
      <c r="AB225" t="str">
        <f t="shared" si="62"/>
        <v>コード番号を選択してください。</v>
      </c>
      <c r="AC225" t="s">
        <v>179</v>
      </c>
      <c r="AD225" t="str">
        <f t="shared" ref="AD225" si="66">AE224</f>
        <v>1つ目の研修が入力されていません。
詰めて入力してください。</v>
      </c>
      <c r="AE225" t="str">
        <f>C224&amp;"つ目の研修が入力されていません。"&amp;CHAR(10)&amp;"詰めて入力してください。"</f>
        <v>2つ目の研修が入力されていません。
詰めて入力してください。</v>
      </c>
      <c r="AF225" t="s">
        <v>180</v>
      </c>
      <c r="AH225">
        <f t="shared" si="45"/>
        <v>9999</v>
      </c>
      <c r="AI225">
        <f>SMALL($AH$187:$AH$276,39)</f>
        <v>9999</v>
      </c>
      <c r="AJ225" t="e">
        <f t="shared" si="46"/>
        <v>#N/A</v>
      </c>
      <c r="AK225" t="str">
        <f t="shared" si="47"/>
        <v>事業場99</v>
      </c>
    </row>
    <row r="226" spans="2:37" x14ac:dyDescent="0.2">
      <c r="B226" s="5">
        <v>14</v>
      </c>
      <c r="C226" s="5">
        <v>1</v>
      </c>
      <c r="D226" s="4">
        <v>1401</v>
      </c>
      <c r="E226" s="4">
        <f t="shared" si="64"/>
        <v>0</v>
      </c>
      <c r="F226" s="12">
        <f>'入力シート（2事業場以降）'!AQ186</f>
        <v>0</v>
      </c>
      <c r="G226" s="4" t="str">
        <f>IF(AND($E226=1,$F226=1),'入力シート（2事業場以降）'!F186,"")&amp;""</f>
        <v/>
      </c>
      <c r="H226" s="12" t="str">
        <f>IFERROR(VLOOKUP($G226,#REF!,3,FALSE),"")</f>
        <v/>
      </c>
      <c r="I226" s="12" t="str">
        <f>IFERROR(VLOOKUP($G226,#REF!,4,FALSE),"")</f>
        <v/>
      </c>
      <c r="J226" s="12" t="str">
        <f>IFERROR(VLOOKUP($G226,#REF!,5,FALSE),"")</f>
        <v/>
      </c>
      <c r="K226" s="12" t="str">
        <f>IFERROR(VLOOKUP($G226,#REF!,6,FALSE),"")</f>
        <v/>
      </c>
      <c r="L226" s="4" t="str">
        <f>IF(AND($E226=1,$F226=1),'入力シート（2事業場以降）'!J186,"")&amp;""</f>
        <v/>
      </c>
      <c r="M226" s="4" t="str">
        <f>IF(AND($E226=1,$F226=1),'入力シート（2事業場以降）'!N186,"")&amp;""</f>
        <v/>
      </c>
      <c r="N226" s="4" t="str">
        <f>IF(AND($E226=1,$F226=1),'入力シート（2事業場以降）'!R186,"")&amp;""</f>
        <v/>
      </c>
      <c r="O226" s="4" t="str">
        <f>IF(AND($E226=1,$F226=1),'入力シート（2事業場以降）'!V186,"")&amp;""</f>
        <v/>
      </c>
      <c r="P226" s="4" t="str">
        <f>IFERROR(VLOOKUP($G226,#REF!,10,FALSE),"")</f>
        <v/>
      </c>
      <c r="Q226" s="12" t="str">
        <f>IF(AND($E226=1,$F226=2),TRIM(CLEAN('入力シート（2事業場以降）'!#REF!)),"")&amp;""</f>
        <v/>
      </c>
      <c r="R226" s="12" t="str">
        <f>IF(AND($E226=1,$F226=2),TRIM(CLEAN('入力シート（2事業場以降）'!#REF!)),"")&amp;""</f>
        <v/>
      </c>
      <c r="S226" s="12" t="str">
        <f>IF(AND($E226=1,$F226=2),TRIM(CLEAN('入力シート（2事業場以降）'!#REF!)),"")&amp;""</f>
        <v/>
      </c>
      <c r="T226" s="12" t="str">
        <f>IF(AND($E226=1,$F226=2),TRIM(CLEAN('入力シート（2事業場以降）'!#REF!)),"")&amp;""</f>
        <v/>
      </c>
      <c r="U226" s="10" t="str">
        <f>IF(AND($E226=1,$F226=1),'入力シート（2事業場以降）'!H186,"")&amp;""</f>
        <v/>
      </c>
      <c r="V226">
        <v>4</v>
      </c>
      <c r="W226" s="41" t="str">
        <f t="shared" ca="1" si="61"/>
        <v>OK</v>
      </c>
      <c r="X226" t="str">
        <f t="shared" ca="1" si="48"/>
        <v>コード番号を選択してください。</v>
      </c>
      <c r="Y226">
        <f t="shared" si="44"/>
        <v>1</v>
      </c>
      <c r="Z226">
        <f t="shared" si="51"/>
        <v>0</v>
      </c>
      <c r="AA226" t="str">
        <f>"コード番号を選択してください。"</f>
        <v>コード番号を選択してください。</v>
      </c>
      <c r="AB226" t="str">
        <f t="shared" si="62"/>
        <v>コード番号を選択してください。</v>
      </c>
      <c r="AC226" t="s">
        <v>179</v>
      </c>
      <c r="AD226" s="18"/>
      <c r="AE226" s="18"/>
      <c r="AF226" t="s">
        <v>180</v>
      </c>
      <c r="AH226">
        <f t="shared" si="45"/>
        <v>9999</v>
      </c>
      <c r="AI226">
        <f>SMALL($AH$187:$AH$276,40)</f>
        <v>9999</v>
      </c>
      <c r="AJ226" t="e">
        <f t="shared" si="46"/>
        <v>#N/A</v>
      </c>
      <c r="AK226" t="str">
        <f t="shared" si="47"/>
        <v>事業場99</v>
      </c>
    </row>
    <row r="227" spans="2:37" x14ac:dyDescent="0.2">
      <c r="B227" s="5">
        <v>14</v>
      </c>
      <c r="C227" s="5">
        <v>2</v>
      </c>
      <c r="D227" s="4">
        <v>1402</v>
      </c>
      <c r="E227" s="4">
        <f t="shared" si="64"/>
        <v>0</v>
      </c>
      <c r="F227" s="12">
        <f>'入力シート（2事業場以降）'!AQ188</f>
        <v>0</v>
      </c>
      <c r="G227" s="4" t="str">
        <f>IF(AND($E227=1,$F227=1),'入力シート（2事業場以降）'!F188,"")&amp;""</f>
        <v/>
      </c>
      <c r="H227" s="12" t="str">
        <f>IFERROR(VLOOKUP($G227,#REF!,3,FALSE),"")</f>
        <v/>
      </c>
      <c r="I227" s="12" t="str">
        <f>IFERROR(VLOOKUP($G227,#REF!,4,FALSE),"")</f>
        <v/>
      </c>
      <c r="J227" s="12" t="str">
        <f>IFERROR(VLOOKUP($G227,#REF!,5,FALSE),"")</f>
        <v/>
      </c>
      <c r="K227" s="12" t="str">
        <f>IFERROR(VLOOKUP($G227,#REF!,6,FALSE),"")</f>
        <v/>
      </c>
      <c r="L227" s="4" t="str">
        <f>IF(AND($E227=1,$F227=1),'入力シート（2事業場以降）'!J188,"")&amp;""</f>
        <v/>
      </c>
      <c r="M227" s="4" t="str">
        <f>IF(AND($E227=1,$F227=1),'入力シート（2事業場以降）'!N188,"")&amp;""</f>
        <v/>
      </c>
      <c r="N227" s="4" t="str">
        <f>IF(AND($E227=1,$F227=1),'入力シート（2事業場以降）'!R188,"")&amp;""</f>
        <v/>
      </c>
      <c r="O227" s="4" t="str">
        <f>IF(AND($E227=1,$F227=1),'入力シート（2事業場以降）'!V188,"")&amp;""</f>
        <v/>
      </c>
      <c r="P227" s="4" t="str">
        <f>IFERROR(VLOOKUP($G227,#REF!,10,FALSE),"")</f>
        <v/>
      </c>
      <c r="Q227" s="12" t="str">
        <f>IF(AND($E227=1,$F227=2),TRIM(CLEAN('入力シート（2事業場以降）'!#REF!)),"")&amp;""</f>
        <v/>
      </c>
      <c r="R227" s="12" t="str">
        <f>IF(AND($E227=1,$F227=2),TRIM(CLEAN('入力シート（2事業場以降）'!#REF!)),"")&amp;""</f>
        <v/>
      </c>
      <c r="S227" s="12" t="str">
        <f>IF(AND($E227=1,$F227=2),TRIM(CLEAN('入力シート（2事業場以降）'!#REF!)),"")&amp;""</f>
        <v/>
      </c>
      <c r="T227" s="12" t="str">
        <f>IF(AND($E227=1,$F227=2),TRIM(CLEAN('入力シート（2事業場以降）'!#REF!)),"")&amp;""</f>
        <v/>
      </c>
      <c r="U227" s="10" t="str">
        <f>IF(AND($E227=1,$F227=1),'入力シート（2事業場以降）'!H188,"")&amp;""</f>
        <v/>
      </c>
      <c r="W227" s="41" t="str">
        <f t="shared" ca="1" si="61"/>
        <v>OK</v>
      </c>
      <c r="X227" t="str">
        <f t="shared" ca="1" si="48"/>
        <v/>
      </c>
      <c r="Y227">
        <f t="shared" si="44"/>
        <v>1</v>
      </c>
      <c r="Z227">
        <f t="shared" si="51"/>
        <v>2</v>
      </c>
      <c r="AA227" s="18"/>
      <c r="AB227" t="str">
        <f t="shared" si="62"/>
        <v>コード番号を選択してください。</v>
      </c>
      <c r="AC227" t="s">
        <v>179</v>
      </c>
      <c r="AD227" s="18"/>
      <c r="AE227" t="str">
        <f>C226&amp;"つ目の研修が入力されていません。"&amp;CHAR(10)&amp;"詰めて入力してください。"</f>
        <v>1つ目の研修が入力されていません。
詰めて入力してください。</v>
      </c>
      <c r="AF227" t="s">
        <v>180</v>
      </c>
      <c r="AH227">
        <f t="shared" si="45"/>
        <v>9999</v>
      </c>
      <c r="AI227">
        <f>SMALL($AH$187:$AH$276,41)</f>
        <v>9999</v>
      </c>
      <c r="AJ227" t="e">
        <f t="shared" si="46"/>
        <v>#N/A</v>
      </c>
      <c r="AK227" t="str">
        <f t="shared" si="47"/>
        <v>事業場99</v>
      </c>
    </row>
    <row r="228" spans="2:37" x14ac:dyDescent="0.2">
      <c r="B228" s="5">
        <v>14</v>
      </c>
      <c r="C228" s="5">
        <v>3</v>
      </c>
      <c r="D228" s="4">
        <v>1403</v>
      </c>
      <c r="E228" s="4">
        <f t="shared" si="64"/>
        <v>0</v>
      </c>
      <c r="F228" s="12">
        <f>'入力シート（2事業場以降）'!AQ190</f>
        <v>0</v>
      </c>
      <c r="G228" s="4" t="str">
        <f>IF(AND($E228=1,$F228=1),'入力シート（2事業場以降）'!F190,"")&amp;""</f>
        <v/>
      </c>
      <c r="H228" s="12" t="str">
        <f>IFERROR(VLOOKUP($G228,#REF!,3,FALSE),"")</f>
        <v/>
      </c>
      <c r="I228" s="12" t="str">
        <f>IFERROR(VLOOKUP($G228,#REF!,4,FALSE),"")</f>
        <v/>
      </c>
      <c r="J228" s="12" t="str">
        <f>IFERROR(VLOOKUP($G228,#REF!,5,FALSE),"")</f>
        <v/>
      </c>
      <c r="K228" s="12" t="str">
        <f>IFERROR(VLOOKUP($G228,#REF!,6,FALSE),"")</f>
        <v/>
      </c>
      <c r="L228" s="4" t="str">
        <f>IF(AND($E228=1,$F228=1),'入力シート（2事業場以降）'!J190,"")&amp;""</f>
        <v/>
      </c>
      <c r="M228" s="4" t="str">
        <f>IF(AND($E228=1,$F228=1),'入力シート（2事業場以降）'!N190,"")&amp;""</f>
        <v/>
      </c>
      <c r="N228" s="4" t="str">
        <f>IF(AND($E228=1,$F228=1),'入力シート（2事業場以降）'!R190,"")&amp;""</f>
        <v/>
      </c>
      <c r="O228" s="4" t="str">
        <f>IF(AND($E228=1,$F228=1),'入力シート（2事業場以降）'!V190,"")&amp;""</f>
        <v/>
      </c>
      <c r="P228" s="4" t="str">
        <f>IFERROR(VLOOKUP($G228,#REF!,10,FALSE),"")</f>
        <v/>
      </c>
      <c r="Q228" s="12" t="str">
        <f>IF(AND($E228=1,$F228=2),TRIM(CLEAN('入力シート（2事業場以降）'!#REF!)),"")&amp;""</f>
        <v/>
      </c>
      <c r="R228" s="12" t="str">
        <f>IF(AND($E228=1,$F228=2),TRIM(CLEAN('入力シート（2事業場以降）'!#REF!)),"")&amp;""</f>
        <v/>
      </c>
      <c r="S228" s="12" t="str">
        <f>IF(AND($E228=1,$F228=2),TRIM(CLEAN('入力シート（2事業場以降）'!#REF!)),"")&amp;""</f>
        <v/>
      </c>
      <c r="T228" s="12" t="str">
        <f>IF(AND($E228=1,$F228=2),TRIM(CLEAN('入力シート（2事業場以降）'!#REF!)),"")&amp;""</f>
        <v/>
      </c>
      <c r="U228" s="10" t="str">
        <f>IF(AND($E228=1,$F228=1),'入力シート（2事業場以降）'!H190,"")&amp;""</f>
        <v/>
      </c>
      <c r="W228" s="41" t="str">
        <f t="shared" ca="1" si="61"/>
        <v>OK</v>
      </c>
      <c r="X228" t="str">
        <f t="shared" ca="1" si="48"/>
        <v/>
      </c>
      <c r="Y228">
        <f t="shared" si="44"/>
        <v>1</v>
      </c>
      <c r="Z228">
        <f t="shared" si="51"/>
        <v>1</v>
      </c>
      <c r="AA228" s="18"/>
      <c r="AB228" t="str">
        <f t="shared" si="62"/>
        <v>コード番号を選択してください。</v>
      </c>
      <c r="AC228" t="s">
        <v>179</v>
      </c>
      <c r="AD228" t="str">
        <f t="shared" ref="AD228" si="67">AE227</f>
        <v>1つ目の研修が入力されていません。
詰めて入力してください。</v>
      </c>
      <c r="AE228" t="str">
        <f>C227&amp;"つ目の研修が入力されていません。"&amp;CHAR(10)&amp;"詰めて入力してください。"</f>
        <v>2つ目の研修が入力されていません。
詰めて入力してください。</v>
      </c>
      <c r="AF228" t="s">
        <v>180</v>
      </c>
      <c r="AH228">
        <f t="shared" si="45"/>
        <v>9999</v>
      </c>
      <c r="AI228">
        <f>SMALL($AH$187:$AH$276,42)</f>
        <v>9999</v>
      </c>
      <c r="AJ228" t="e">
        <f t="shared" si="46"/>
        <v>#N/A</v>
      </c>
      <c r="AK228" t="str">
        <f t="shared" si="47"/>
        <v>事業場99</v>
      </c>
    </row>
    <row r="229" spans="2:37" x14ac:dyDescent="0.2">
      <c r="B229" s="5">
        <v>15</v>
      </c>
      <c r="C229" s="5">
        <v>1</v>
      </c>
      <c r="D229" s="4">
        <v>1501</v>
      </c>
      <c r="E229" s="4">
        <f t="shared" si="64"/>
        <v>0</v>
      </c>
      <c r="F229" s="12">
        <f>'入力シート（2事業場以降）'!AQ193</f>
        <v>0</v>
      </c>
      <c r="G229" s="4" t="str">
        <f>IF(AND($E229=1,$F229=1),'入力シート（2事業場以降）'!F193,"")&amp;""</f>
        <v/>
      </c>
      <c r="H229" s="12" t="str">
        <f>IFERROR(VLOOKUP($G229,#REF!,3,FALSE),"")</f>
        <v/>
      </c>
      <c r="I229" s="12" t="str">
        <f>IFERROR(VLOOKUP($G229,#REF!,4,FALSE),"")</f>
        <v/>
      </c>
      <c r="J229" s="12" t="str">
        <f>IFERROR(VLOOKUP($G229,#REF!,5,FALSE),"")</f>
        <v/>
      </c>
      <c r="K229" s="12" t="str">
        <f>IFERROR(VLOOKUP($G229,#REF!,6,FALSE),"")</f>
        <v/>
      </c>
      <c r="L229" s="4" t="str">
        <f>IF(AND($E229=1,$F229=1),'入力シート（2事業場以降）'!J193,"")&amp;""</f>
        <v/>
      </c>
      <c r="M229" s="4" t="str">
        <f>IF(AND($E229=1,$F229=1),'入力シート（2事業場以降）'!N193,"")&amp;""</f>
        <v/>
      </c>
      <c r="N229" s="4" t="str">
        <f>IF(AND($E229=1,$F229=1),'入力シート（2事業場以降）'!R193,"")&amp;""</f>
        <v/>
      </c>
      <c r="O229" s="4" t="str">
        <f>IF(AND($E229=1,$F229=1),'入力シート（2事業場以降）'!V193,"")&amp;""</f>
        <v/>
      </c>
      <c r="P229" s="4" t="str">
        <f>IFERROR(VLOOKUP($G229,#REF!,10,FALSE),"")</f>
        <v/>
      </c>
      <c r="Q229" s="12" t="str">
        <f>IF(AND($E229=1,$F229=2),TRIM(CLEAN('入力シート（2事業場以降）'!#REF!)),"")&amp;""</f>
        <v/>
      </c>
      <c r="R229" s="12" t="str">
        <f>IF(AND($E229=1,$F229=2),TRIM(CLEAN('入力シート（2事業場以降）'!#REF!)),"")&amp;""</f>
        <v/>
      </c>
      <c r="S229" s="12" t="str">
        <f>IF(AND($E229=1,$F229=2),TRIM(CLEAN('入力シート（2事業場以降）'!#REF!)),"")&amp;""</f>
        <v/>
      </c>
      <c r="T229" s="12" t="str">
        <f>IF(AND($E229=1,$F229=2),TRIM(CLEAN('入力シート（2事業場以降）'!#REF!)),"")&amp;""</f>
        <v/>
      </c>
      <c r="U229" s="10" t="str">
        <f>IF(AND($E229=1,$F229=1),'入力シート（2事業場以降）'!H193,"")&amp;""</f>
        <v/>
      </c>
      <c r="V229">
        <v>5</v>
      </c>
      <c r="W229" s="41" t="str">
        <f t="shared" ca="1" si="61"/>
        <v>OK</v>
      </c>
      <c r="X229" t="str">
        <f t="shared" ca="1" si="48"/>
        <v>コード番号を選択してください。</v>
      </c>
      <c r="Y229">
        <f t="shared" si="44"/>
        <v>1</v>
      </c>
      <c r="Z229">
        <f t="shared" si="51"/>
        <v>0</v>
      </c>
      <c r="AA229" t="str">
        <f>"コード番号を選択してください。"</f>
        <v>コード番号を選択してください。</v>
      </c>
      <c r="AB229" t="str">
        <f t="shared" si="62"/>
        <v>コード番号を選択してください。</v>
      </c>
      <c r="AC229" t="s">
        <v>179</v>
      </c>
      <c r="AD229" s="18"/>
      <c r="AE229" s="18"/>
      <c r="AF229" t="s">
        <v>180</v>
      </c>
      <c r="AH229">
        <f t="shared" si="45"/>
        <v>9999</v>
      </c>
      <c r="AI229">
        <f>SMALL($AH$187:$AH$276,43)</f>
        <v>9999</v>
      </c>
      <c r="AJ229" t="e">
        <f t="shared" si="46"/>
        <v>#N/A</v>
      </c>
      <c r="AK229" t="str">
        <f t="shared" si="47"/>
        <v>事業場99</v>
      </c>
    </row>
    <row r="230" spans="2:37" x14ac:dyDescent="0.2">
      <c r="B230" s="5">
        <v>15</v>
      </c>
      <c r="C230" s="5">
        <v>2</v>
      </c>
      <c r="D230" s="4">
        <v>1502</v>
      </c>
      <c r="E230" s="4">
        <f t="shared" si="64"/>
        <v>0</v>
      </c>
      <c r="F230" s="12">
        <f>'入力シート（2事業場以降）'!AQ195</f>
        <v>0</v>
      </c>
      <c r="G230" s="4" t="str">
        <f>IF(AND($E230=1,$F230=1),'入力シート（2事業場以降）'!F195,"")&amp;""</f>
        <v/>
      </c>
      <c r="H230" s="12" t="str">
        <f>IFERROR(VLOOKUP($G230,#REF!,3,FALSE),"")</f>
        <v/>
      </c>
      <c r="I230" s="12" t="str">
        <f>IFERROR(VLOOKUP($G230,#REF!,4,FALSE),"")</f>
        <v/>
      </c>
      <c r="J230" s="12" t="str">
        <f>IFERROR(VLOOKUP($G230,#REF!,5,FALSE),"")</f>
        <v/>
      </c>
      <c r="K230" s="12" t="str">
        <f>IFERROR(VLOOKUP($G230,#REF!,6,FALSE),"")</f>
        <v/>
      </c>
      <c r="L230" s="4" t="str">
        <f>IF(AND($E230=1,$F230=1),'入力シート（2事業場以降）'!J195,"")&amp;""</f>
        <v/>
      </c>
      <c r="M230" s="4" t="str">
        <f>IF(AND($E230=1,$F230=1),'入力シート（2事業場以降）'!N195,"")&amp;""</f>
        <v/>
      </c>
      <c r="N230" s="4" t="str">
        <f>IF(AND($E230=1,$F230=1),'入力シート（2事業場以降）'!R195,"")&amp;""</f>
        <v/>
      </c>
      <c r="O230" s="4" t="str">
        <f>IF(AND($E230=1,$F230=1),'入力シート（2事業場以降）'!V195,"")&amp;""</f>
        <v/>
      </c>
      <c r="P230" s="4" t="str">
        <f>IFERROR(VLOOKUP($G230,#REF!,10,FALSE),"")</f>
        <v/>
      </c>
      <c r="Q230" s="12" t="str">
        <f>IF(AND($E230=1,$F230=2),TRIM(CLEAN('入力シート（2事業場以降）'!#REF!)),"")&amp;""</f>
        <v/>
      </c>
      <c r="R230" s="12" t="str">
        <f>IF(AND($E230=1,$F230=2),TRIM(CLEAN('入力シート（2事業場以降）'!#REF!)),"")&amp;""</f>
        <v/>
      </c>
      <c r="S230" s="12" t="str">
        <f>IF(AND($E230=1,$F230=2),TRIM(CLEAN('入力シート（2事業場以降）'!#REF!)),"")&amp;""</f>
        <v/>
      </c>
      <c r="T230" s="12" t="str">
        <f>IF(AND($E230=1,$F230=2),TRIM(CLEAN('入力シート（2事業場以降）'!#REF!)),"")&amp;""</f>
        <v/>
      </c>
      <c r="U230" s="10" t="str">
        <f>IF(AND($E230=1,$F230=1),'入力シート（2事業場以降）'!H195,"")&amp;""</f>
        <v/>
      </c>
      <c r="W230" s="41" t="str">
        <f t="shared" ca="1" si="61"/>
        <v>OK</v>
      </c>
      <c r="X230" t="str">
        <f t="shared" ca="1" si="48"/>
        <v/>
      </c>
      <c r="Y230">
        <f t="shared" si="44"/>
        <v>1</v>
      </c>
      <c r="Z230">
        <f t="shared" si="51"/>
        <v>2</v>
      </c>
      <c r="AA230" s="18"/>
      <c r="AB230" t="str">
        <f t="shared" si="62"/>
        <v>コード番号を選択してください。</v>
      </c>
      <c r="AC230" t="s">
        <v>179</v>
      </c>
      <c r="AD230" s="18"/>
      <c r="AE230" t="str">
        <f>C229&amp;"つ目の研修が入力されていません。"&amp;CHAR(10)&amp;"詰めて入力してください。"</f>
        <v>1つ目の研修が入力されていません。
詰めて入力してください。</v>
      </c>
      <c r="AF230" t="s">
        <v>180</v>
      </c>
      <c r="AH230">
        <f t="shared" si="45"/>
        <v>9999</v>
      </c>
      <c r="AI230">
        <f>SMALL($AH$187:$AH$276,44)</f>
        <v>9999</v>
      </c>
      <c r="AJ230" t="e">
        <f t="shared" si="46"/>
        <v>#N/A</v>
      </c>
      <c r="AK230" t="str">
        <f t="shared" si="47"/>
        <v>事業場99</v>
      </c>
    </row>
    <row r="231" spans="2:37" x14ac:dyDescent="0.2">
      <c r="B231" s="5">
        <v>15</v>
      </c>
      <c r="C231" s="5">
        <v>3</v>
      </c>
      <c r="D231" s="4">
        <v>1503</v>
      </c>
      <c r="E231" s="4">
        <f t="shared" si="64"/>
        <v>0</v>
      </c>
      <c r="F231" s="12">
        <f>'入力シート（2事業場以降）'!AQ197</f>
        <v>0</v>
      </c>
      <c r="G231" s="4" t="str">
        <f>IF(AND($E231=1,$F231=1),'入力シート（2事業場以降）'!F197,"")&amp;""</f>
        <v/>
      </c>
      <c r="H231" s="12" t="str">
        <f>IFERROR(VLOOKUP($G231,#REF!,3,FALSE),"")</f>
        <v/>
      </c>
      <c r="I231" s="12" t="str">
        <f>IFERROR(VLOOKUP($G231,#REF!,4,FALSE),"")</f>
        <v/>
      </c>
      <c r="J231" s="12" t="str">
        <f>IFERROR(VLOOKUP($G231,#REF!,5,FALSE),"")</f>
        <v/>
      </c>
      <c r="K231" s="12" t="str">
        <f>IFERROR(VLOOKUP($G231,#REF!,6,FALSE),"")</f>
        <v/>
      </c>
      <c r="L231" s="4" t="str">
        <f>IF(AND($E231=1,$F231=1),'入力シート（2事業場以降）'!J197,"")&amp;""</f>
        <v/>
      </c>
      <c r="M231" s="4" t="str">
        <f>IF(AND($E231=1,$F231=1),'入力シート（2事業場以降）'!N197,"")&amp;""</f>
        <v/>
      </c>
      <c r="N231" s="4" t="str">
        <f>IF(AND($E231=1,$F231=1),'入力シート（2事業場以降）'!R197,"")&amp;""</f>
        <v/>
      </c>
      <c r="O231" s="4" t="str">
        <f>IF(AND($E231=1,$F231=1),'入力シート（2事業場以降）'!V197,"")&amp;""</f>
        <v/>
      </c>
      <c r="P231" s="4" t="str">
        <f>IFERROR(VLOOKUP($G231,#REF!,10,FALSE),"")</f>
        <v/>
      </c>
      <c r="Q231" s="12" t="str">
        <f>IF(AND($E231=1,$F231=2),TRIM(CLEAN('入力シート（2事業場以降）'!#REF!)),"")&amp;""</f>
        <v/>
      </c>
      <c r="R231" s="12" t="str">
        <f>IF(AND($E231=1,$F231=2),TRIM(CLEAN('入力シート（2事業場以降）'!#REF!)),"")&amp;""</f>
        <v/>
      </c>
      <c r="S231" s="12" t="str">
        <f>IF(AND($E231=1,$F231=2),TRIM(CLEAN('入力シート（2事業場以降）'!#REF!)),"")&amp;""</f>
        <v/>
      </c>
      <c r="T231" s="12" t="str">
        <f>IF(AND($E231=1,$F231=2),TRIM(CLEAN('入力シート（2事業場以降）'!#REF!)),"")&amp;""</f>
        <v/>
      </c>
      <c r="U231" s="10" t="str">
        <f>IF(AND($E231=1,$F231=1),'入力シート（2事業場以降）'!H197,"")&amp;""</f>
        <v/>
      </c>
      <c r="W231" s="41" t="str">
        <f t="shared" ca="1" si="61"/>
        <v>OK</v>
      </c>
      <c r="X231" t="str">
        <f t="shared" ca="1" si="48"/>
        <v/>
      </c>
      <c r="Y231">
        <f t="shared" si="44"/>
        <v>1</v>
      </c>
      <c r="Z231">
        <f t="shared" si="51"/>
        <v>1</v>
      </c>
      <c r="AA231" s="18"/>
      <c r="AB231" t="str">
        <f t="shared" si="62"/>
        <v>コード番号を選択してください。</v>
      </c>
      <c r="AC231" t="s">
        <v>179</v>
      </c>
      <c r="AD231" t="str">
        <f t="shared" ref="AD231" si="68">AE230</f>
        <v>1つ目の研修が入力されていません。
詰めて入力してください。</v>
      </c>
      <c r="AE231" t="str">
        <f>C230&amp;"つ目の研修が入力されていません。"&amp;CHAR(10)&amp;"詰めて入力してください。"</f>
        <v>2つ目の研修が入力されていません。
詰めて入力してください。</v>
      </c>
      <c r="AF231" t="s">
        <v>180</v>
      </c>
      <c r="AH231">
        <f t="shared" si="45"/>
        <v>9999</v>
      </c>
      <c r="AI231">
        <f>SMALL($AH$187:$AH$276,45)</f>
        <v>9999</v>
      </c>
      <c r="AJ231" t="e">
        <f t="shared" si="46"/>
        <v>#N/A</v>
      </c>
      <c r="AK231" t="str">
        <f t="shared" si="47"/>
        <v>事業場99</v>
      </c>
    </row>
    <row r="232" spans="2:37" x14ac:dyDescent="0.2">
      <c r="B232" s="5">
        <v>16</v>
      </c>
      <c r="C232" s="5">
        <v>1</v>
      </c>
      <c r="D232" s="4">
        <v>1601</v>
      </c>
      <c r="E232" s="4">
        <f t="shared" si="64"/>
        <v>0</v>
      </c>
      <c r="F232" s="12">
        <f>'入力シート（2事業場以降）'!AQ200</f>
        <v>0</v>
      </c>
      <c r="G232" s="4" t="str">
        <f>IF(AND($E232=1,$F232=1),'入力シート（2事業場以降）'!F200,"")&amp;""</f>
        <v/>
      </c>
      <c r="H232" s="12" t="str">
        <f>IFERROR(VLOOKUP($G232,#REF!,3,FALSE),"")</f>
        <v/>
      </c>
      <c r="I232" s="12" t="str">
        <f>IFERROR(VLOOKUP($G232,#REF!,4,FALSE),"")</f>
        <v/>
      </c>
      <c r="J232" s="12" t="str">
        <f>IFERROR(VLOOKUP($G232,#REF!,5,FALSE),"")</f>
        <v/>
      </c>
      <c r="K232" s="12" t="str">
        <f>IFERROR(VLOOKUP($G232,#REF!,6,FALSE),"")</f>
        <v/>
      </c>
      <c r="L232" s="4" t="str">
        <f>IF(AND($E232=1,$F232=1),'入力シート（2事業場以降）'!J200,"")&amp;""</f>
        <v/>
      </c>
      <c r="M232" s="4" t="str">
        <f>IF(AND($E232=1,$F232=1),'入力シート（2事業場以降）'!N200,"")&amp;""</f>
        <v/>
      </c>
      <c r="N232" s="4" t="str">
        <f>IF(AND($E232=1,$F232=1),'入力シート（2事業場以降）'!R200,"")&amp;""</f>
        <v/>
      </c>
      <c r="O232" s="4" t="str">
        <f>IF(AND($E232=1,$F232=1),'入力シート（2事業場以降）'!V200,"")&amp;""</f>
        <v/>
      </c>
      <c r="P232" s="4" t="str">
        <f>IFERROR(VLOOKUP($G232,#REF!,10,FALSE),"")</f>
        <v/>
      </c>
      <c r="Q232" s="12" t="str">
        <f>IF(AND($E232=1,$F232=2),TRIM(CLEAN('入力シート（2事業場以降）'!#REF!)),"")&amp;""</f>
        <v/>
      </c>
      <c r="R232" s="12" t="str">
        <f>IF(AND($E232=1,$F232=2),TRIM(CLEAN('入力シート（2事業場以降）'!#REF!)),"")&amp;""</f>
        <v/>
      </c>
      <c r="S232" s="12" t="str">
        <f>IF(AND($E232=1,$F232=2),TRIM(CLEAN('入力シート（2事業場以降）'!#REF!)),"")&amp;""</f>
        <v/>
      </c>
      <c r="T232" s="12" t="str">
        <f>IF(AND($E232=1,$F232=2),TRIM(CLEAN('入力シート（2事業場以降）'!#REF!)),"")&amp;""</f>
        <v/>
      </c>
      <c r="U232" s="10" t="str">
        <f>IF(AND($E232=1,$F232=1),'入力シート（2事業場以降）'!H200,"")&amp;""</f>
        <v/>
      </c>
      <c r="V232">
        <v>6</v>
      </c>
      <c r="W232" s="41" t="str">
        <f t="shared" ca="1" si="61"/>
        <v>OK</v>
      </c>
      <c r="X232" t="str">
        <f t="shared" ca="1" si="48"/>
        <v>コード番号を選択してください。</v>
      </c>
      <c r="Y232">
        <f t="shared" si="44"/>
        <v>1</v>
      </c>
      <c r="Z232">
        <f t="shared" si="51"/>
        <v>0</v>
      </c>
      <c r="AA232" t="str">
        <f>"コード番号を選択してください。"</f>
        <v>コード番号を選択してください。</v>
      </c>
      <c r="AB232" t="str">
        <f t="shared" si="62"/>
        <v>コード番号を選択してください。</v>
      </c>
      <c r="AC232" t="s">
        <v>179</v>
      </c>
      <c r="AD232" s="18"/>
      <c r="AE232" s="18"/>
      <c r="AF232" t="s">
        <v>180</v>
      </c>
      <c r="AH232">
        <f t="shared" si="45"/>
        <v>9999</v>
      </c>
      <c r="AI232">
        <f>SMALL($AH$187:$AH$276,46)</f>
        <v>9999</v>
      </c>
      <c r="AJ232" t="e">
        <f t="shared" si="46"/>
        <v>#N/A</v>
      </c>
      <c r="AK232" t="str">
        <f t="shared" si="47"/>
        <v>事業場99</v>
      </c>
    </row>
    <row r="233" spans="2:37" x14ac:dyDescent="0.2">
      <c r="B233" s="5">
        <v>16</v>
      </c>
      <c r="C233" s="5">
        <v>2</v>
      </c>
      <c r="D233" s="4">
        <v>1602</v>
      </c>
      <c r="E233" s="4">
        <f t="shared" si="64"/>
        <v>0</v>
      </c>
      <c r="F233" s="12">
        <f>'入力シート（2事業場以降）'!AQ202</f>
        <v>0</v>
      </c>
      <c r="G233" s="4" t="str">
        <f>IF(AND($E233=1,$F233=1),'入力シート（2事業場以降）'!F202,"")&amp;""</f>
        <v/>
      </c>
      <c r="H233" s="12" t="str">
        <f>IFERROR(VLOOKUP($G233,#REF!,3,FALSE),"")</f>
        <v/>
      </c>
      <c r="I233" s="12" t="str">
        <f>IFERROR(VLOOKUP($G233,#REF!,4,FALSE),"")</f>
        <v/>
      </c>
      <c r="J233" s="12" t="str">
        <f>IFERROR(VLOOKUP($G233,#REF!,5,FALSE),"")</f>
        <v/>
      </c>
      <c r="K233" s="12" t="str">
        <f>IFERROR(VLOOKUP($G233,#REF!,6,FALSE),"")</f>
        <v/>
      </c>
      <c r="L233" s="4" t="str">
        <f>IF(AND($E233=1,$F233=1),'入力シート（2事業場以降）'!J202,"")&amp;""</f>
        <v/>
      </c>
      <c r="M233" s="4" t="str">
        <f>IF(AND($E233=1,$F233=1),'入力シート（2事業場以降）'!N202,"")&amp;""</f>
        <v/>
      </c>
      <c r="N233" s="4" t="str">
        <f>IF(AND($E233=1,$F233=1),'入力シート（2事業場以降）'!R202,"")&amp;""</f>
        <v/>
      </c>
      <c r="O233" s="4" t="str">
        <f>IF(AND($E233=1,$F233=1),'入力シート（2事業場以降）'!V202,"")&amp;""</f>
        <v/>
      </c>
      <c r="P233" s="4" t="str">
        <f>IFERROR(VLOOKUP($G233,#REF!,10,FALSE),"")</f>
        <v/>
      </c>
      <c r="Q233" s="12" t="str">
        <f>IF(AND($E233=1,$F233=2),TRIM(CLEAN('入力シート（2事業場以降）'!#REF!)),"")&amp;""</f>
        <v/>
      </c>
      <c r="R233" s="12" t="str">
        <f>IF(AND($E233=1,$F233=2),TRIM(CLEAN('入力シート（2事業場以降）'!#REF!)),"")&amp;""</f>
        <v/>
      </c>
      <c r="S233" s="12" t="str">
        <f>IF(AND($E233=1,$F233=2),TRIM(CLEAN('入力シート（2事業場以降）'!#REF!)),"")&amp;""</f>
        <v/>
      </c>
      <c r="T233" s="12" t="str">
        <f>IF(AND($E233=1,$F233=2),TRIM(CLEAN('入力シート（2事業場以降）'!#REF!)),"")&amp;""</f>
        <v/>
      </c>
      <c r="U233" s="10" t="str">
        <f>IF(AND($E233=1,$F233=1),'入力シート（2事業場以降）'!H202,"")&amp;""</f>
        <v/>
      </c>
      <c r="W233" s="41" t="str">
        <f t="shared" ca="1" si="61"/>
        <v>OK</v>
      </c>
      <c r="X233" t="str">
        <f t="shared" ca="1" si="48"/>
        <v/>
      </c>
      <c r="Y233">
        <f t="shared" si="44"/>
        <v>1</v>
      </c>
      <c r="Z233">
        <f t="shared" si="51"/>
        <v>2</v>
      </c>
      <c r="AA233" s="18"/>
      <c r="AB233" t="str">
        <f t="shared" si="62"/>
        <v>コード番号を選択してください。</v>
      </c>
      <c r="AC233" t="s">
        <v>179</v>
      </c>
      <c r="AD233" s="18"/>
      <c r="AE233" t="str">
        <f>C232&amp;"つ目の研修が入力されていません。"&amp;CHAR(10)&amp;"詰めて入力してください。"</f>
        <v>1つ目の研修が入力されていません。
詰めて入力してください。</v>
      </c>
      <c r="AF233" t="s">
        <v>180</v>
      </c>
      <c r="AH233">
        <f t="shared" si="45"/>
        <v>9999</v>
      </c>
      <c r="AI233">
        <f>SMALL($AH$187:$AH$276,47)</f>
        <v>9999</v>
      </c>
      <c r="AJ233" t="e">
        <f t="shared" si="46"/>
        <v>#N/A</v>
      </c>
      <c r="AK233" t="str">
        <f t="shared" si="47"/>
        <v>事業場99</v>
      </c>
    </row>
    <row r="234" spans="2:37" x14ac:dyDescent="0.2">
      <c r="B234" s="5">
        <v>16</v>
      </c>
      <c r="C234" s="5">
        <v>3</v>
      </c>
      <c r="D234" s="4">
        <v>1603</v>
      </c>
      <c r="E234" s="4">
        <f t="shared" si="64"/>
        <v>0</v>
      </c>
      <c r="F234" s="12">
        <f>'入力シート（2事業場以降）'!AQ204</f>
        <v>0</v>
      </c>
      <c r="G234" s="4" t="str">
        <f>IF(AND($E234=1,$F234=1),'入力シート（2事業場以降）'!F204,"")&amp;""</f>
        <v/>
      </c>
      <c r="H234" s="12" t="str">
        <f>IFERROR(VLOOKUP($G234,#REF!,3,FALSE),"")</f>
        <v/>
      </c>
      <c r="I234" s="12" t="str">
        <f>IFERROR(VLOOKUP($G234,#REF!,4,FALSE),"")</f>
        <v/>
      </c>
      <c r="J234" s="12" t="str">
        <f>IFERROR(VLOOKUP($G234,#REF!,5,FALSE),"")</f>
        <v/>
      </c>
      <c r="K234" s="12" t="str">
        <f>IFERROR(VLOOKUP($G234,#REF!,6,FALSE),"")</f>
        <v/>
      </c>
      <c r="L234" s="4" t="str">
        <f>IF(AND($E234=1,$F234=1),'入力シート（2事業場以降）'!J204,"")&amp;""</f>
        <v/>
      </c>
      <c r="M234" s="4" t="str">
        <f>IF(AND($E234=1,$F234=1),'入力シート（2事業場以降）'!N204,"")&amp;""</f>
        <v/>
      </c>
      <c r="N234" s="4" t="str">
        <f>IF(AND($E234=1,$F234=1),'入力シート（2事業場以降）'!R204,"")&amp;""</f>
        <v/>
      </c>
      <c r="O234" s="4" t="str">
        <f>IF(AND($E234=1,$F234=1),'入力シート（2事業場以降）'!V204,"")&amp;""</f>
        <v/>
      </c>
      <c r="P234" s="4" t="str">
        <f>IFERROR(VLOOKUP($G234,#REF!,10,FALSE),"")</f>
        <v/>
      </c>
      <c r="Q234" s="12" t="str">
        <f>IF(AND($E234=1,$F234=2),TRIM(CLEAN('入力シート（2事業場以降）'!#REF!)),"")&amp;""</f>
        <v/>
      </c>
      <c r="R234" s="12" t="str">
        <f>IF(AND($E234=1,$F234=2),TRIM(CLEAN('入力シート（2事業場以降）'!#REF!)),"")&amp;""</f>
        <v/>
      </c>
      <c r="S234" s="12" t="str">
        <f>IF(AND($E234=1,$F234=2),TRIM(CLEAN('入力シート（2事業場以降）'!#REF!)),"")&amp;""</f>
        <v/>
      </c>
      <c r="T234" s="12" t="str">
        <f>IF(AND($E234=1,$F234=2),TRIM(CLEAN('入力シート（2事業場以降）'!#REF!)),"")&amp;""</f>
        <v/>
      </c>
      <c r="U234" s="10" t="str">
        <f>IF(AND($E234=1,$F234=1),'入力シート（2事業場以降）'!H204,"")&amp;""</f>
        <v/>
      </c>
      <c r="W234" s="41" t="str">
        <f t="shared" ca="1" si="61"/>
        <v>OK</v>
      </c>
      <c r="X234" t="str">
        <f t="shared" ca="1" si="48"/>
        <v/>
      </c>
      <c r="Y234">
        <f t="shared" si="44"/>
        <v>1</v>
      </c>
      <c r="Z234">
        <f t="shared" si="51"/>
        <v>1</v>
      </c>
      <c r="AA234" s="18"/>
      <c r="AB234" t="str">
        <f t="shared" si="62"/>
        <v>コード番号を選択してください。</v>
      </c>
      <c r="AC234" t="s">
        <v>179</v>
      </c>
      <c r="AD234" t="str">
        <f t="shared" ref="AD234" si="69">AE233</f>
        <v>1つ目の研修が入力されていません。
詰めて入力してください。</v>
      </c>
      <c r="AE234" t="str">
        <f>C233&amp;"つ目の研修が入力されていません。"&amp;CHAR(10)&amp;"詰めて入力してください。"</f>
        <v>2つ目の研修が入力されていません。
詰めて入力してください。</v>
      </c>
      <c r="AF234" t="s">
        <v>180</v>
      </c>
      <c r="AH234">
        <f t="shared" si="45"/>
        <v>9999</v>
      </c>
      <c r="AI234">
        <f>SMALL($AH$187:$AH$276,48)</f>
        <v>9999</v>
      </c>
      <c r="AJ234" t="e">
        <f t="shared" si="46"/>
        <v>#N/A</v>
      </c>
      <c r="AK234" t="str">
        <f t="shared" si="47"/>
        <v>事業場99</v>
      </c>
    </row>
    <row r="235" spans="2:37" x14ac:dyDescent="0.2">
      <c r="B235" s="5">
        <v>17</v>
      </c>
      <c r="C235" s="5">
        <v>1</v>
      </c>
      <c r="D235" s="4">
        <v>1701</v>
      </c>
      <c r="E235" s="4">
        <f t="shared" si="64"/>
        <v>0</v>
      </c>
      <c r="F235" s="12">
        <f>'入力シート（2事業場以降）'!AQ207</f>
        <v>0</v>
      </c>
      <c r="G235" s="4" t="str">
        <f>IF(AND($E235=1,$F235=1),'入力シート（2事業場以降）'!F207,"")&amp;""</f>
        <v/>
      </c>
      <c r="H235" s="12" t="str">
        <f>IFERROR(VLOOKUP($G235,#REF!,3,FALSE),"")</f>
        <v/>
      </c>
      <c r="I235" s="12" t="str">
        <f>IFERROR(VLOOKUP($G235,#REF!,4,FALSE),"")</f>
        <v/>
      </c>
      <c r="J235" s="12" t="str">
        <f>IFERROR(VLOOKUP($G235,#REF!,5,FALSE),"")</f>
        <v/>
      </c>
      <c r="K235" s="12" t="str">
        <f>IFERROR(VLOOKUP($G235,#REF!,6,FALSE),"")</f>
        <v/>
      </c>
      <c r="L235" s="4" t="str">
        <f>IF(AND($E235=1,$F235=1),'入力シート（2事業場以降）'!J207,"")&amp;""</f>
        <v/>
      </c>
      <c r="M235" s="4" t="str">
        <f>IF(AND($E235=1,$F235=1),'入力シート（2事業場以降）'!N207,"")&amp;""</f>
        <v/>
      </c>
      <c r="N235" s="4" t="str">
        <f>IF(AND($E235=1,$F235=1),'入力シート（2事業場以降）'!R207,"")&amp;""</f>
        <v/>
      </c>
      <c r="O235" s="4" t="str">
        <f>IF(AND($E235=1,$F235=1),'入力シート（2事業場以降）'!V207,"")&amp;""</f>
        <v/>
      </c>
      <c r="P235" s="4" t="str">
        <f>IFERROR(VLOOKUP($G235,#REF!,10,FALSE),"")</f>
        <v/>
      </c>
      <c r="Q235" s="12" t="str">
        <f>IF(AND($E235=1,$F235=2),TRIM(CLEAN('入力シート（2事業場以降）'!#REF!)),"")&amp;""</f>
        <v/>
      </c>
      <c r="R235" s="12" t="str">
        <f>IF(AND($E235=1,$F235=2),TRIM(CLEAN('入力シート（2事業場以降）'!#REF!)),"")&amp;""</f>
        <v/>
      </c>
      <c r="S235" s="12" t="str">
        <f>IF(AND($E235=1,$F235=2),TRIM(CLEAN('入力シート（2事業場以降）'!#REF!)),"")&amp;""</f>
        <v/>
      </c>
      <c r="T235" s="12" t="str">
        <f>IF(AND($E235=1,$F235=2),TRIM(CLEAN('入力シート（2事業場以降）'!#REF!)),"")&amp;""</f>
        <v/>
      </c>
      <c r="U235" s="10" t="str">
        <f>IF(AND($E235=1,$F235=1),'入力シート（2事業場以降）'!H207,"")&amp;""</f>
        <v/>
      </c>
      <c r="V235">
        <v>7</v>
      </c>
      <c r="W235" s="41" t="str">
        <f t="shared" ca="1" si="61"/>
        <v>OK</v>
      </c>
      <c r="X235" t="str">
        <f t="shared" ca="1" si="48"/>
        <v>コード番号を選択してください。</v>
      </c>
      <c r="Y235">
        <f t="shared" si="44"/>
        <v>1</v>
      </c>
      <c r="Z235">
        <f t="shared" si="51"/>
        <v>0</v>
      </c>
      <c r="AA235" t="str">
        <f>"コード番号を選択してください。"</f>
        <v>コード番号を選択してください。</v>
      </c>
      <c r="AB235" t="str">
        <f t="shared" si="62"/>
        <v>コード番号を選択してください。</v>
      </c>
      <c r="AC235" t="s">
        <v>179</v>
      </c>
      <c r="AD235" s="18"/>
      <c r="AE235" s="18"/>
      <c r="AF235" t="s">
        <v>180</v>
      </c>
      <c r="AH235">
        <f t="shared" si="45"/>
        <v>9999</v>
      </c>
      <c r="AI235">
        <f>SMALL($AH$187:$AH$276,49)</f>
        <v>9999</v>
      </c>
      <c r="AJ235" t="e">
        <f t="shared" si="46"/>
        <v>#N/A</v>
      </c>
      <c r="AK235" t="str">
        <f t="shared" si="47"/>
        <v>事業場99</v>
      </c>
    </row>
    <row r="236" spans="2:37" x14ac:dyDescent="0.2">
      <c r="B236" s="5">
        <v>17</v>
      </c>
      <c r="C236" s="5">
        <v>2</v>
      </c>
      <c r="D236" s="4">
        <v>1702</v>
      </c>
      <c r="E236" s="4">
        <f t="shared" si="64"/>
        <v>0</v>
      </c>
      <c r="F236" s="12">
        <f>'入力シート（2事業場以降）'!AQ209</f>
        <v>0</v>
      </c>
      <c r="G236" s="4" t="str">
        <f>IF(AND($E236=1,$F236=1),'入力シート（2事業場以降）'!F209,"")&amp;""</f>
        <v/>
      </c>
      <c r="H236" s="12" t="str">
        <f>IFERROR(VLOOKUP($G236,#REF!,3,FALSE),"")</f>
        <v/>
      </c>
      <c r="I236" s="12" t="str">
        <f>IFERROR(VLOOKUP($G236,#REF!,4,FALSE),"")</f>
        <v/>
      </c>
      <c r="J236" s="12" t="str">
        <f>IFERROR(VLOOKUP($G236,#REF!,5,FALSE),"")</f>
        <v/>
      </c>
      <c r="K236" s="12" t="str">
        <f>IFERROR(VLOOKUP($G236,#REF!,6,FALSE),"")</f>
        <v/>
      </c>
      <c r="L236" s="4" t="str">
        <f>IF(AND($E236=1,$F236=1),'入力シート（2事業場以降）'!J209,"")&amp;""</f>
        <v/>
      </c>
      <c r="M236" s="4" t="str">
        <f>IF(AND($E236=1,$F236=1),'入力シート（2事業場以降）'!N209,"")&amp;""</f>
        <v/>
      </c>
      <c r="N236" s="4" t="str">
        <f>IF(AND($E236=1,$F236=1),'入力シート（2事業場以降）'!R209,"")&amp;""</f>
        <v/>
      </c>
      <c r="O236" s="4" t="str">
        <f>IF(AND($E236=1,$F236=1),'入力シート（2事業場以降）'!V209,"")&amp;""</f>
        <v/>
      </c>
      <c r="P236" s="4" t="str">
        <f>IFERROR(VLOOKUP($G236,#REF!,10,FALSE),"")</f>
        <v/>
      </c>
      <c r="Q236" s="12" t="str">
        <f>IF(AND($E236=1,$F236=2),TRIM(CLEAN('入力シート（2事業場以降）'!#REF!)),"")&amp;""</f>
        <v/>
      </c>
      <c r="R236" s="12" t="str">
        <f>IF(AND($E236=1,$F236=2),TRIM(CLEAN('入力シート（2事業場以降）'!#REF!)),"")&amp;""</f>
        <v/>
      </c>
      <c r="S236" s="12" t="str">
        <f>IF(AND($E236=1,$F236=2),TRIM(CLEAN('入力シート（2事業場以降）'!#REF!)),"")&amp;""</f>
        <v/>
      </c>
      <c r="T236" s="12" t="str">
        <f>IF(AND($E236=1,$F236=2),TRIM(CLEAN('入力シート（2事業場以降）'!#REF!)),"")&amp;""</f>
        <v/>
      </c>
      <c r="U236" s="10" t="str">
        <f>IF(AND($E236=1,$F236=1),'入力シート（2事業場以降）'!H209,"")&amp;""</f>
        <v/>
      </c>
      <c r="W236" s="41" t="str">
        <f t="shared" ca="1" si="61"/>
        <v>OK</v>
      </c>
      <c r="X236" t="str">
        <f t="shared" ca="1" si="48"/>
        <v/>
      </c>
      <c r="Y236">
        <f t="shared" si="44"/>
        <v>1</v>
      </c>
      <c r="Z236">
        <f t="shared" si="51"/>
        <v>2</v>
      </c>
      <c r="AA236" s="18"/>
      <c r="AB236" t="str">
        <f t="shared" si="62"/>
        <v>コード番号を選択してください。</v>
      </c>
      <c r="AC236" t="s">
        <v>179</v>
      </c>
      <c r="AD236" s="18"/>
      <c r="AE236" t="str">
        <f>C235&amp;"つ目の研修が入力されていません。"&amp;CHAR(10)&amp;"詰めて入力してください。"</f>
        <v>1つ目の研修が入力されていません。
詰めて入力してください。</v>
      </c>
      <c r="AF236" t="s">
        <v>180</v>
      </c>
      <c r="AH236">
        <f t="shared" si="45"/>
        <v>9999</v>
      </c>
      <c r="AI236">
        <f>SMALL($AH$187:$AH$276,50)</f>
        <v>9999</v>
      </c>
      <c r="AJ236" t="e">
        <f t="shared" si="46"/>
        <v>#N/A</v>
      </c>
      <c r="AK236" t="str">
        <f t="shared" si="47"/>
        <v>事業場99</v>
      </c>
    </row>
    <row r="237" spans="2:37" x14ac:dyDescent="0.2">
      <c r="B237" s="5">
        <v>17</v>
      </c>
      <c r="C237" s="5">
        <v>3</v>
      </c>
      <c r="D237" s="4">
        <v>1703</v>
      </c>
      <c r="E237" s="4">
        <f t="shared" si="64"/>
        <v>0</v>
      </c>
      <c r="F237" s="12">
        <f>'入力シート（2事業場以降）'!AQ211</f>
        <v>0</v>
      </c>
      <c r="G237" s="4" t="str">
        <f>IF(AND($E237=1,$F237=1),'入力シート（2事業場以降）'!F211,"")&amp;""</f>
        <v/>
      </c>
      <c r="H237" s="12" t="str">
        <f>IFERROR(VLOOKUP($G237,#REF!,3,FALSE),"")</f>
        <v/>
      </c>
      <c r="I237" s="12" t="str">
        <f>IFERROR(VLOOKUP($G237,#REF!,4,FALSE),"")</f>
        <v/>
      </c>
      <c r="J237" s="12" t="str">
        <f>IFERROR(VLOOKUP($G237,#REF!,5,FALSE),"")</f>
        <v/>
      </c>
      <c r="K237" s="12" t="str">
        <f>IFERROR(VLOOKUP($G237,#REF!,6,FALSE),"")</f>
        <v/>
      </c>
      <c r="L237" s="4" t="str">
        <f>IF(AND($E237=1,$F237=1),'入力シート（2事業場以降）'!J211,"")&amp;""</f>
        <v/>
      </c>
      <c r="M237" s="4" t="str">
        <f>IF(AND($E237=1,$F237=1),'入力シート（2事業場以降）'!N211,"")&amp;""</f>
        <v/>
      </c>
      <c r="N237" s="4" t="str">
        <f>IF(AND($E237=1,$F237=1),'入力シート（2事業場以降）'!R211,"")&amp;""</f>
        <v/>
      </c>
      <c r="O237" s="4" t="str">
        <f>IF(AND($E237=1,$F237=1),'入力シート（2事業場以降）'!V211,"")&amp;""</f>
        <v/>
      </c>
      <c r="P237" s="4" t="str">
        <f>IFERROR(VLOOKUP($G237,#REF!,10,FALSE),"")</f>
        <v/>
      </c>
      <c r="Q237" s="12" t="str">
        <f>IF(AND($E237=1,$F237=2),TRIM(CLEAN('入力シート（2事業場以降）'!#REF!)),"")&amp;""</f>
        <v/>
      </c>
      <c r="R237" s="12" t="str">
        <f>IF(AND($E237=1,$F237=2),TRIM(CLEAN('入力シート（2事業場以降）'!#REF!)),"")&amp;""</f>
        <v/>
      </c>
      <c r="S237" s="12" t="str">
        <f>IF(AND($E237=1,$F237=2),TRIM(CLEAN('入力シート（2事業場以降）'!#REF!)),"")&amp;""</f>
        <v/>
      </c>
      <c r="T237" s="12" t="str">
        <f>IF(AND($E237=1,$F237=2),TRIM(CLEAN('入力シート（2事業場以降）'!#REF!)),"")&amp;""</f>
        <v/>
      </c>
      <c r="U237" s="10" t="str">
        <f>IF(AND($E237=1,$F237=1),'入力シート（2事業場以降）'!H211,"")&amp;""</f>
        <v/>
      </c>
      <c r="W237" s="41" t="str">
        <f t="shared" ca="1" si="61"/>
        <v>OK</v>
      </c>
      <c r="X237" t="str">
        <f t="shared" ca="1" si="48"/>
        <v/>
      </c>
      <c r="Y237">
        <f t="shared" si="44"/>
        <v>1</v>
      </c>
      <c r="Z237">
        <f t="shared" si="51"/>
        <v>1</v>
      </c>
      <c r="AA237" s="18"/>
      <c r="AB237" t="str">
        <f t="shared" si="62"/>
        <v>コード番号を選択してください。</v>
      </c>
      <c r="AC237" t="s">
        <v>179</v>
      </c>
      <c r="AD237" t="str">
        <f t="shared" ref="AD237" si="70">AE236</f>
        <v>1つ目の研修が入力されていません。
詰めて入力してください。</v>
      </c>
      <c r="AE237" t="str">
        <f>C236&amp;"つ目の研修が入力されていません。"&amp;CHAR(10)&amp;"詰めて入力してください。"</f>
        <v>2つ目の研修が入力されていません。
詰めて入力してください。</v>
      </c>
      <c r="AF237" t="s">
        <v>180</v>
      </c>
      <c r="AH237">
        <f t="shared" si="45"/>
        <v>9999</v>
      </c>
      <c r="AI237">
        <f>SMALL($AH$187:$AH$276,51)</f>
        <v>9999</v>
      </c>
      <c r="AJ237" t="e">
        <f t="shared" si="46"/>
        <v>#N/A</v>
      </c>
      <c r="AK237" t="str">
        <f t="shared" si="47"/>
        <v>事業場99</v>
      </c>
    </row>
    <row r="238" spans="2:37" x14ac:dyDescent="0.2">
      <c r="B238" s="5">
        <v>18</v>
      </c>
      <c r="C238" s="5">
        <v>1</v>
      </c>
      <c r="D238" s="4">
        <v>1801</v>
      </c>
      <c r="E238" s="4">
        <f t="shared" si="64"/>
        <v>0</v>
      </c>
      <c r="F238" s="12">
        <f>'入力シート（2事業場以降）'!AQ214</f>
        <v>0</v>
      </c>
      <c r="G238" s="4" t="str">
        <f>IF(AND($E238=1,$F238=1),'入力シート（2事業場以降）'!F214,"")&amp;""</f>
        <v/>
      </c>
      <c r="H238" s="12" t="str">
        <f>IFERROR(VLOOKUP($G238,#REF!,3,FALSE),"")</f>
        <v/>
      </c>
      <c r="I238" s="12" t="str">
        <f>IFERROR(VLOOKUP($G238,#REF!,4,FALSE),"")</f>
        <v/>
      </c>
      <c r="J238" s="12" t="str">
        <f>IFERROR(VLOOKUP($G238,#REF!,5,FALSE),"")</f>
        <v/>
      </c>
      <c r="K238" s="12" t="str">
        <f>IFERROR(VLOOKUP($G238,#REF!,6,FALSE),"")</f>
        <v/>
      </c>
      <c r="L238" s="4" t="str">
        <f>IF(AND($E238=1,$F238=1),'入力シート（2事業場以降）'!J214,"")&amp;""</f>
        <v/>
      </c>
      <c r="M238" s="4" t="str">
        <f>IF(AND($E238=1,$F238=1),'入力シート（2事業場以降）'!N214,"")&amp;""</f>
        <v/>
      </c>
      <c r="N238" s="4" t="str">
        <f>IF(AND($E238=1,$F238=1),'入力シート（2事業場以降）'!R214,"")&amp;""</f>
        <v/>
      </c>
      <c r="O238" s="4" t="str">
        <f>IF(AND($E238=1,$F238=1),'入力シート（2事業場以降）'!V214,"")&amp;""</f>
        <v/>
      </c>
      <c r="P238" s="4" t="str">
        <f>IFERROR(VLOOKUP($G238,#REF!,10,FALSE),"")</f>
        <v/>
      </c>
      <c r="Q238" s="12" t="str">
        <f>IF(AND($E238=1,$F238=2),TRIM(CLEAN('入力シート（2事業場以降）'!#REF!)),"")&amp;""</f>
        <v/>
      </c>
      <c r="R238" s="12" t="str">
        <f>IF(AND($E238=1,$F238=2),TRIM(CLEAN('入力シート（2事業場以降）'!#REF!)),"")&amp;""</f>
        <v/>
      </c>
      <c r="S238" s="12" t="str">
        <f>IF(AND($E238=1,$F238=2),TRIM(CLEAN('入力シート（2事業場以降）'!#REF!)),"")&amp;""</f>
        <v/>
      </c>
      <c r="T238" s="12" t="str">
        <f>IF(AND($E238=1,$F238=2),TRIM(CLEAN('入力シート（2事業場以降）'!#REF!)),"")&amp;""</f>
        <v/>
      </c>
      <c r="U238" s="10" t="str">
        <f>IF(AND($E238=1,$F238=1),'入力シート（2事業場以降）'!H214,"")&amp;""</f>
        <v/>
      </c>
      <c r="V238">
        <v>8</v>
      </c>
      <c r="W238" s="41" t="str">
        <f t="shared" ca="1" si="61"/>
        <v>OK</v>
      </c>
      <c r="X238" t="str">
        <f t="shared" ca="1" si="48"/>
        <v>コード番号を選択してください。</v>
      </c>
      <c r="Y238">
        <f t="shared" si="44"/>
        <v>1</v>
      </c>
      <c r="Z238">
        <f t="shared" si="51"/>
        <v>0</v>
      </c>
      <c r="AA238" t="str">
        <f>"コード番号を選択してください。"</f>
        <v>コード番号を選択してください。</v>
      </c>
      <c r="AB238" t="str">
        <f t="shared" si="62"/>
        <v>コード番号を選択してください。</v>
      </c>
      <c r="AC238" t="s">
        <v>179</v>
      </c>
      <c r="AD238" s="18"/>
      <c r="AE238" s="18"/>
      <c r="AF238" t="s">
        <v>180</v>
      </c>
      <c r="AH238">
        <f t="shared" si="45"/>
        <v>9999</v>
      </c>
      <c r="AI238">
        <f>SMALL($AH$187:$AH$276,52)</f>
        <v>9999</v>
      </c>
      <c r="AJ238" t="e">
        <f t="shared" si="46"/>
        <v>#N/A</v>
      </c>
      <c r="AK238" t="str">
        <f t="shared" si="47"/>
        <v>事業場99</v>
      </c>
    </row>
    <row r="239" spans="2:37" x14ac:dyDescent="0.2">
      <c r="B239" s="5">
        <v>18</v>
      </c>
      <c r="C239" s="5">
        <v>2</v>
      </c>
      <c r="D239" s="4">
        <v>1802</v>
      </c>
      <c r="E239" s="4">
        <f t="shared" si="64"/>
        <v>0</v>
      </c>
      <c r="F239" s="12">
        <f>'入力シート（2事業場以降）'!AQ216</f>
        <v>0</v>
      </c>
      <c r="G239" s="4" t="str">
        <f>IF(AND($E239=1,$F239=1),'入力シート（2事業場以降）'!F216,"")&amp;""</f>
        <v/>
      </c>
      <c r="H239" s="12" t="str">
        <f>IFERROR(VLOOKUP($G239,#REF!,3,FALSE),"")</f>
        <v/>
      </c>
      <c r="I239" s="12" t="str">
        <f>IFERROR(VLOOKUP($G239,#REF!,4,FALSE),"")</f>
        <v/>
      </c>
      <c r="J239" s="12" t="str">
        <f>IFERROR(VLOOKUP($G239,#REF!,5,FALSE),"")</f>
        <v/>
      </c>
      <c r="K239" s="12" t="str">
        <f>IFERROR(VLOOKUP($G239,#REF!,6,FALSE),"")</f>
        <v/>
      </c>
      <c r="L239" s="4" t="str">
        <f>IF(AND($E239=1,$F239=1),'入力シート（2事業場以降）'!J216,"")&amp;""</f>
        <v/>
      </c>
      <c r="M239" s="4" t="str">
        <f>IF(AND($E239=1,$F239=1),'入力シート（2事業場以降）'!N216,"")&amp;""</f>
        <v/>
      </c>
      <c r="N239" s="4" t="str">
        <f>IF(AND($E239=1,$F239=1),'入力シート（2事業場以降）'!R216,"")&amp;""</f>
        <v/>
      </c>
      <c r="O239" s="4" t="str">
        <f>IF(AND($E239=1,$F239=1),'入力シート（2事業場以降）'!V216,"")&amp;""</f>
        <v/>
      </c>
      <c r="P239" s="4" t="str">
        <f>IFERROR(VLOOKUP($G239,#REF!,10,FALSE),"")</f>
        <v/>
      </c>
      <c r="Q239" s="12" t="str">
        <f>IF(AND($E239=1,$F239=2),TRIM(CLEAN('入力シート（2事業場以降）'!#REF!)),"")&amp;""</f>
        <v/>
      </c>
      <c r="R239" s="12" t="str">
        <f>IF(AND($E239=1,$F239=2),TRIM(CLEAN('入力シート（2事業場以降）'!#REF!)),"")&amp;""</f>
        <v/>
      </c>
      <c r="S239" s="12" t="str">
        <f>IF(AND($E239=1,$F239=2),TRIM(CLEAN('入力シート（2事業場以降）'!#REF!)),"")&amp;""</f>
        <v/>
      </c>
      <c r="T239" s="12" t="str">
        <f>IF(AND($E239=1,$F239=2),TRIM(CLEAN('入力シート（2事業場以降）'!#REF!)),"")&amp;""</f>
        <v/>
      </c>
      <c r="U239" s="10" t="str">
        <f>IF(AND($E239=1,$F239=1),'入力シート（2事業場以降）'!H216,"")&amp;""</f>
        <v/>
      </c>
      <c r="W239" s="41" t="str">
        <f t="shared" ca="1" si="61"/>
        <v>OK</v>
      </c>
      <c r="X239" t="str">
        <f t="shared" ca="1" si="48"/>
        <v/>
      </c>
      <c r="Y239">
        <f t="shared" si="44"/>
        <v>1</v>
      </c>
      <c r="Z239">
        <f t="shared" si="51"/>
        <v>2</v>
      </c>
      <c r="AA239" s="18"/>
      <c r="AB239" t="str">
        <f t="shared" si="62"/>
        <v>コード番号を選択してください。</v>
      </c>
      <c r="AC239" t="s">
        <v>179</v>
      </c>
      <c r="AD239" s="18"/>
      <c r="AE239" t="str">
        <f>C238&amp;"つ目の研修が入力されていません。"&amp;CHAR(10)&amp;"詰めて入力してください。"</f>
        <v>1つ目の研修が入力されていません。
詰めて入力してください。</v>
      </c>
      <c r="AF239" t="s">
        <v>180</v>
      </c>
      <c r="AH239">
        <f t="shared" si="45"/>
        <v>9999</v>
      </c>
      <c r="AI239">
        <f>SMALL($AH$187:$AH$276,53)</f>
        <v>9999</v>
      </c>
      <c r="AJ239" t="e">
        <f t="shared" si="46"/>
        <v>#N/A</v>
      </c>
      <c r="AK239" t="str">
        <f t="shared" si="47"/>
        <v>事業場99</v>
      </c>
    </row>
    <row r="240" spans="2:37" x14ac:dyDescent="0.2">
      <c r="B240" s="5">
        <v>18</v>
      </c>
      <c r="C240" s="5">
        <v>3</v>
      </c>
      <c r="D240" s="4">
        <v>1803</v>
      </c>
      <c r="E240" s="4">
        <f t="shared" si="64"/>
        <v>0</v>
      </c>
      <c r="F240" s="12">
        <f>'入力シート（2事業場以降）'!AQ218</f>
        <v>0</v>
      </c>
      <c r="G240" s="4" t="str">
        <f>IF(AND($E240=1,$F240=1),'入力シート（2事業場以降）'!F218,"")&amp;""</f>
        <v/>
      </c>
      <c r="H240" s="12" t="str">
        <f>IFERROR(VLOOKUP($G240,#REF!,3,FALSE),"")</f>
        <v/>
      </c>
      <c r="I240" s="12" t="str">
        <f>IFERROR(VLOOKUP($G240,#REF!,4,FALSE),"")</f>
        <v/>
      </c>
      <c r="J240" s="12" t="str">
        <f>IFERROR(VLOOKUP($G240,#REF!,5,FALSE),"")</f>
        <v/>
      </c>
      <c r="K240" s="12" t="str">
        <f>IFERROR(VLOOKUP($G240,#REF!,6,FALSE),"")</f>
        <v/>
      </c>
      <c r="L240" s="4" t="str">
        <f>IF(AND($E240=1,$F240=1),'入力シート（2事業場以降）'!J218,"")&amp;""</f>
        <v/>
      </c>
      <c r="M240" s="4" t="str">
        <f>IF(AND($E240=1,$F240=1),'入力シート（2事業場以降）'!N218,"")&amp;""</f>
        <v/>
      </c>
      <c r="N240" s="4" t="str">
        <f>IF(AND($E240=1,$F240=1),'入力シート（2事業場以降）'!R218,"")&amp;""</f>
        <v/>
      </c>
      <c r="O240" s="4" t="str">
        <f>IF(AND($E240=1,$F240=1),'入力シート（2事業場以降）'!V218,"")&amp;""</f>
        <v/>
      </c>
      <c r="P240" s="4" t="str">
        <f>IFERROR(VLOOKUP($G240,#REF!,10,FALSE),"")</f>
        <v/>
      </c>
      <c r="Q240" s="12" t="str">
        <f>IF(AND($E240=1,$F240=2),TRIM(CLEAN('入力シート（2事業場以降）'!#REF!)),"")&amp;""</f>
        <v/>
      </c>
      <c r="R240" s="12" t="str">
        <f>IF(AND($E240=1,$F240=2),TRIM(CLEAN('入力シート（2事業場以降）'!#REF!)),"")&amp;""</f>
        <v/>
      </c>
      <c r="S240" s="12" t="str">
        <f>IF(AND($E240=1,$F240=2),TRIM(CLEAN('入力シート（2事業場以降）'!#REF!)),"")&amp;""</f>
        <v/>
      </c>
      <c r="T240" s="12" t="str">
        <f>IF(AND($E240=1,$F240=2),TRIM(CLEAN('入力シート（2事業場以降）'!#REF!)),"")&amp;""</f>
        <v/>
      </c>
      <c r="U240" s="10" t="str">
        <f>IF(AND($E240=1,$F240=1),'入力シート（2事業場以降）'!H218,"")&amp;""</f>
        <v/>
      </c>
      <c r="W240" s="41" t="str">
        <f t="shared" ca="1" si="61"/>
        <v>OK</v>
      </c>
      <c r="X240" t="str">
        <f t="shared" ca="1" si="48"/>
        <v/>
      </c>
      <c r="Y240">
        <f t="shared" si="44"/>
        <v>1</v>
      </c>
      <c r="Z240">
        <f t="shared" si="51"/>
        <v>1</v>
      </c>
      <c r="AA240" s="18"/>
      <c r="AB240" t="str">
        <f t="shared" si="62"/>
        <v>コード番号を選択してください。</v>
      </c>
      <c r="AC240" t="s">
        <v>179</v>
      </c>
      <c r="AD240" t="str">
        <f t="shared" ref="AD240" si="71">AE239</f>
        <v>1つ目の研修が入力されていません。
詰めて入力してください。</v>
      </c>
      <c r="AE240" t="str">
        <f>C239&amp;"つ目の研修が入力されていません。"&amp;CHAR(10)&amp;"詰めて入力してください。"</f>
        <v>2つ目の研修が入力されていません。
詰めて入力してください。</v>
      </c>
      <c r="AF240" t="s">
        <v>180</v>
      </c>
      <c r="AH240">
        <f t="shared" si="45"/>
        <v>9999</v>
      </c>
      <c r="AI240">
        <f>SMALL($AH$187:$AH$276,54)</f>
        <v>9999</v>
      </c>
      <c r="AJ240" t="e">
        <f t="shared" si="46"/>
        <v>#N/A</v>
      </c>
      <c r="AK240" t="str">
        <f t="shared" si="47"/>
        <v>事業場99</v>
      </c>
    </row>
    <row r="241" spans="2:37" x14ac:dyDescent="0.2">
      <c r="B241" s="5">
        <v>19</v>
      </c>
      <c r="C241" s="5">
        <v>1</v>
      </c>
      <c r="D241" s="4">
        <v>1901</v>
      </c>
      <c r="E241" s="4">
        <f t="shared" si="64"/>
        <v>0</v>
      </c>
      <c r="F241" s="12">
        <f>'入力シート（2事業場以降）'!AQ221</f>
        <v>0</v>
      </c>
      <c r="G241" s="4" t="str">
        <f>IF(AND($E241=1,$F241=1),'入力シート（2事業場以降）'!F221,"")&amp;""</f>
        <v/>
      </c>
      <c r="H241" s="12" t="str">
        <f>IFERROR(VLOOKUP($G241,#REF!,3,FALSE),"")</f>
        <v/>
      </c>
      <c r="I241" s="12" t="str">
        <f>IFERROR(VLOOKUP($G241,#REF!,4,FALSE),"")</f>
        <v/>
      </c>
      <c r="J241" s="12" t="str">
        <f>IFERROR(VLOOKUP($G241,#REF!,5,FALSE),"")</f>
        <v/>
      </c>
      <c r="K241" s="12" t="str">
        <f>IFERROR(VLOOKUP($G241,#REF!,6,FALSE),"")</f>
        <v/>
      </c>
      <c r="L241" s="4" t="str">
        <f>IF(AND($E241=1,$F241=1),'入力シート（2事業場以降）'!J221,"")&amp;""</f>
        <v/>
      </c>
      <c r="M241" s="4" t="str">
        <f>IF(AND($E241=1,$F241=1),'入力シート（2事業場以降）'!N221,"")&amp;""</f>
        <v/>
      </c>
      <c r="N241" s="4" t="str">
        <f>IF(AND($E241=1,$F241=1),'入力シート（2事業場以降）'!R221,"")&amp;""</f>
        <v/>
      </c>
      <c r="O241" s="4" t="str">
        <f>IF(AND($E241=1,$F241=1),'入力シート（2事業場以降）'!V221,"")&amp;""</f>
        <v/>
      </c>
      <c r="P241" s="4" t="str">
        <f>IFERROR(VLOOKUP($G241,#REF!,10,FALSE),"")</f>
        <v/>
      </c>
      <c r="Q241" s="12" t="str">
        <f>IF(AND($E241=1,$F241=2),TRIM(CLEAN('入力シート（2事業場以降）'!#REF!)),"")&amp;""</f>
        <v/>
      </c>
      <c r="R241" s="12" t="str">
        <f>IF(AND($E241=1,$F241=2),TRIM(CLEAN('入力シート（2事業場以降）'!#REF!)),"")&amp;""</f>
        <v/>
      </c>
      <c r="S241" s="12" t="str">
        <f>IF(AND($E241=1,$F241=2),TRIM(CLEAN('入力シート（2事業場以降）'!#REF!)),"")&amp;""</f>
        <v/>
      </c>
      <c r="T241" s="12" t="str">
        <f>IF(AND($E241=1,$F241=2),TRIM(CLEAN('入力シート（2事業場以降）'!#REF!)),"")&amp;""</f>
        <v/>
      </c>
      <c r="U241" s="10" t="str">
        <f>IF(AND($E241=1,$F241=1),'入力シート（2事業場以降）'!H221,"")&amp;""</f>
        <v/>
      </c>
      <c r="V241">
        <v>9</v>
      </c>
      <c r="W241" s="41" t="str">
        <f t="shared" ca="1" si="61"/>
        <v>OK</v>
      </c>
      <c r="X241" t="str">
        <f t="shared" ca="1" si="48"/>
        <v>コード番号を選択してください。</v>
      </c>
      <c r="Y241">
        <f t="shared" si="44"/>
        <v>1</v>
      </c>
      <c r="Z241">
        <f t="shared" si="51"/>
        <v>0</v>
      </c>
      <c r="AA241" t="str">
        <f>"コード番号を選択してください。"</f>
        <v>コード番号を選択してください。</v>
      </c>
      <c r="AB241" t="str">
        <f t="shared" si="62"/>
        <v>コード番号を選択してください。</v>
      </c>
      <c r="AC241" t="s">
        <v>179</v>
      </c>
      <c r="AD241" s="18"/>
      <c r="AE241" s="18"/>
      <c r="AF241" t="s">
        <v>180</v>
      </c>
      <c r="AH241">
        <f t="shared" si="45"/>
        <v>9999</v>
      </c>
      <c r="AI241">
        <f>SMALL($AH$187:$AH$276,55)</f>
        <v>9999</v>
      </c>
      <c r="AJ241" t="e">
        <f t="shared" si="46"/>
        <v>#N/A</v>
      </c>
      <c r="AK241" t="str">
        <f t="shared" si="47"/>
        <v>事業場99</v>
      </c>
    </row>
    <row r="242" spans="2:37" x14ac:dyDescent="0.2">
      <c r="B242" s="5">
        <v>19</v>
      </c>
      <c r="C242" s="5">
        <v>2</v>
      </c>
      <c r="D242" s="4">
        <v>1902</v>
      </c>
      <c r="E242" s="4">
        <f t="shared" si="64"/>
        <v>0</v>
      </c>
      <c r="F242" s="12">
        <f>'入力シート（2事業場以降）'!AQ223</f>
        <v>0</v>
      </c>
      <c r="G242" s="4" t="str">
        <f>IF(AND($E242=1,$F242=1),'入力シート（2事業場以降）'!F223,"")&amp;""</f>
        <v/>
      </c>
      <c r="H242" s="12" t="str">
        <f>IFERROR(VLOOKUP($G242,#REF!,3,FALSE),"")</f>
        <v/>
      </c>
      <c r="I242" s="12" t="str">
        <f>IFERROR(VLOOKUP($G242,#REF!,4,FALSE),"")</f>
        <v/>
      </c>
      <c r="J242" s="12" t="str">
        <f>IFERROR(VLOOKUP($G242,#REF!,5,FALSE),"")</f>
        <v/>
      </c>
      <c r="K242" s="12" t="str">
        <f>IFERROR(VLOOKUP($G242,#REF!,6,FALSE),"")</f>
        <v/>
      </c>
      <c r="L242" s="4" t="str">
        <f>IF(AND($E242=1,$F242=1),'入力シート（2事業場以降）'!J223,"")&amp;""</f>
        <v/>
      </c>
      <c r="M242" s="4" t="str">
        <f>IF(AND($E242=1,$F242=1),'入力シート（2事業場以降）'!N223,"")&amp;""</f>
        <v/>
      </c>
      <c r="N242" s="4" t="str">
        <f>IF(AND($E242=1,$F242=1),'入力シート（2事業場以降）'!R223,"")&amp;""</f>
        <v/>
      </c>
      <c r="O242" s="4" t="str">
        <f>IF(AND($E242=1,$F242=1),'入力シート（2事業場以降）'!V223,"")&amp;""</f>
        <v/>
      </c>
      <c r="P242" s="4" t="str">
        <f>IFERROR(VLOOKUP($G242,#REF!,10,FALSE),"")</f>
        <v/>
      </c>
      <c r="Q242" s="12" t="str">
        <f>IF(AND($E242=1,$F242=2),TRIM(CLEAN('入力シート（2事業場以降）'!#REF!)),"")&amp;""</f>
        <v/>
      </c>
      <c r="R242" s="12" t="str">
        <f>IF(AND($E242=1,$F242=2),TRIM(CLEAN('入力シート（2事業場以降）'!#REF!)),"")&amp;""</f>
        <v/>
      </c>
      <c r="S242" s="12" t="str">
        <f>IF(AND($E242=1,$F242=2),TRIM(CLEAN('入力シート（2事業場以降）'!#REF!)),"")&amp;""</f>
        <v/>
      </c>
      <c r="T242" s="12" t="str">
        <f>IF(AND($E242=1,$F242=2),TRIM(CLEAN('入力シート（2事業場以降）'!#REF!)),"")&amp;""</f>
        <v/>
      </c>
      <c r="U242" s="10" t="str">
        <f>IF(AND($E242=1,$F242=1),'入力シート（2事業場以降）'!H223,"")&amp;""</f>
        <v/>
      </c>
      <c r="W242" s="41" t="str">
        <f t="shared" ca="1" si="61"/>
        <v>OK</v>
      </c>
      <c r="X242" t="str">
        <f t="shared" ca="1" si="48"/>
        <v/>
      </c>
      <c r="Y242">
        <f t="shared" si="44"/>
        <v>1</v>
      </c>
      <c r="Z242">
        <f t="shared" si="51"/>
        <v>2</v>
      </c>
      <c r="AA242" s="18"/>
      <c r="AB242" t="str">
        <f t="shared" si="62"/>
        <v>コード番号を選択してください。</v>
      </c>
      <c r="AC242" t="s">
        <v>179</v>
      </c>
      <c r="AD242" s="18"/>
      <c r="AE242" t="str">
        <f>C241&amp;"つ目の研修が入力されていません。"&amp;CHAR(10)&amp;"詰めて入力してください。"</f>
        <v>1つ目の研修が入力されていません。
詰めて入力してください。</v>
      </c>
      <c r="AF242" t="s">
        <v>180</v>
      </c>
      <c r="AH242">
        <f t="shared" si="45"/>
        <v>9999</v>
      </c>
      <c r="AI242">
        <f>SMALL($AH$187:$AH$276,56)</f>
        <v>9999</v>
      </c>
      <c r="AJ242" t="e">
        <f t="shared" si="46"/>
        <v>#N/A</v>
      </c>
      <c r="AK242" t="str">
        <f t="shared" si="47"/>
        <v>事業場99</v>
      </c>
    </row>
    <row r="243" spans="2:37" x14ac:dyDescent="0.2">
      <c r="B243" s="5">
        <v>19</v>
      </c>
      <c r="C243" s="5">
        <v>3</v>
      </c>
      <c r="D243" s="4">
        <v>1903</v>
      </c>
      <c r="E243" s="4">
        <f t="shared" si="64"/>
        <v>0</v>
      </c>
      <c r="F243" s="12">
        <f>'入力シート（2事業場以降）'!AQ225</f>
        <v>0</v>
      </c>
      <c r="G243" s="4" t="str">
        <f>IF(AND($E243=1,$F243=1),'入力シート（2事業場以降）'!F225,"")&amp;""</f>
        <v/>
      </c>
      <c r="H243" s="12" t="str">
        <f>IFERROR(VLOOKUP($G243,#REF!,3,FALSE),"")</f>
        <v/>
      </c>
      <c r="I243" s="12" t="str">
        <f>IFERROR(VLOOKUP($G243,#REF!,4,FALSE),"")</f>
        <v/>
      </c>
      <c r="J243" s="12" t="str">
        <f>IFERROR(VLOOKUP($G243,#REF!,5,FALSE),"")</f>
        <v/>
      </c>
      <c r="K243" s="12" t="str">
        <f>IFERROR(VLOOKUP($G243,#REF!,6,FALSE),"")</f>
        <v/>
      </c>
      <c r="L243" s="4" t="str">
        <f>IF(AND($E243=1,$F243=1),'入力シート（2事業場以降）'!J225,"")&amp;""</f>
        <v/>
      </c>
      <c r="M243" s="4" t="str">
        <f>IF(AND($E243=1,$F243=1),'入力シート（2事業場以降）'!N225,"")&amp;""</f>
        <v/>
      </c>
      <c r="N243" s="4" t="str">
        <f>IF(AND($E243=1,$F243=1),'入力シート（2事業場以降）'!R225,"")&amp;""</f>
        <v/>
      </c>
      <c r="O243" s="4" t="str">
        <f>IF(AND($E243=1,$F243=1),'入力シート（2事業場以降）'!V225,"")&amp;""</f>
        <v/>
      </c>
      <c r="P243" s="4" t="str">
        <f>IFERROR(VLOOKUP($G243,#REF!,10,FALSE),"")</f>
        <v/>
      </c>
      <c r="Q243" s="12" t="str">
        <f>IF(AND($E243=1,$F243=2),TRIM(CLEAN('入力シート（2事業場以降）'!#REF!)),"")&amp;""</f>
        <v/>
      </c>
      <c r="R243" s="12" t="str">
        <f>IF(AND($E243=1,$F243=2),TRIM(CLEAN('入力シート（2事業場以降）'!#REF!)),"")&amp;""</f>
        <v/>
      </c>
      <c r="S243" s="12" t="str">
        <f>IF(AND($E243=1,$F243=2),TRIM(CLEAN('入力シート（2事業場以降）'!#REF!)),"")&amp;""</f>
        <v/>
      </c>
      <c r="T243" s="12" t="str">
        <f>IF(AND($E243=1,$F243=2),TRIM(CLEAN('入力シート（2事業場以降）'!#REF!)),"")&amp;""</f>
        <v/>
      </c>
      <c r="U243" s="10" t="str">
        <f>IF(AND($E243=1,$F243=1),'入力シート（2事業場以降）'!H225,"")&amp;""</f>
        <v/>
      </c>
      <c r="W243" s="41" t="str">
        <f t="shared" ca="1" si="61"/>
        <v>OK</v>
      </c>
      <c r="X243" t="str">
        <f t="shared" ca="1" si="48"/>
        <v/>
      </c>
      <c r="Y243">
        <f t="shared" si="44"/>
        <v>1</v>
      </c>
      <c r="Z243">
        <f t="shared" si="51"/>
        <v>1</v>
      </c>
      <c r="AA243" s="18"/>
      <c r="AB243" t="str">
        <f t="shared" si="62"/>
        <v>コード番号を選択してください。</v>
      </c>
      <c r="AC243" t="s">
        <v>179</v>
      </c>
      <c r="AD243" t="str">
        <f t="shared" ref="AD243" si="72">AE242</f>
        <v>1つ目の研修が入力されていません。
詰めて入力してください。</v>
      </c>
      <c r="AE243" t="str">
        <f>C242&amp;"つ目の研修が入力されていません。"&amp;CHAR(10)&amp;"詰めて入力してください。"</f>
        <v>2つ目の研修が入力されていません。
詰めて入力してください。</v>
      </c>
      <c r="AF243" t="s">
        <v>180</v>
      </c>
      <c r="AH243">
        <f t="shared" si="45"/>
        <v>9999</v>
      </c>
      <c r="AI243">
        <f>SMALL($AH$187:$AH$276,57)</f>
        <v>9999</v>
      </c>
      <c r="AJ243" t="e">
        <f t="shared" si="46"/>
        <v>#N/A</v>
      </c>
      <c r="AK243" t="str">
        <f t="shared" si="47"/>
        <v>事業場99</v>
      </c>
    </row>
    <row r="244" spans="2:37" x14ac:dyDescent="0.2">
      <c r="B244" s="5">
        <v>20</v>
      </c>
      <c r="C244" s="5">
        <v>1</v>
      </c>
      <c r="D244" s="4">
        <v>2001</v>
      </c>
      <c r="E244" s="4">
        <f t="shared" si="64"/>
        <v>0</v>
      </c>
      <c r="F244" s="12">
        <f>'入力シート（2事業場以降）'!AQ228</f>
        <v>0</v>
      </c>
      <c r="G244" s="4" t="str">
        <f>IF(AND($E244=1,$F244=1),'入力シート（2事業場以降）'!F228,"")&amp;""</f>
        <v/>
      </c>
      <c r="H244" s="12" t="str">
        <f>IFERROR(VLOOKUP($G244,#REF!,3,FALSE),"")</f>
        <v/>
      </c>
      <c r="I244" s="12" t="str">
        <f>IFERROR(VLOOKUP($G244,#REF!,4,FALSE),"")</f>
        <v/>
      </c>
      <c r="J244" s="12" t="str">
        <f>IFERROR(VLOOKUP($G244,#REF!,5,FALSE),"")</f>
        <v/>
      </c>
      <c r="K244" s="12" t="str">
        <f>IFERROR(VLOOKUP($G244,#REF!,6,FALSE),"")</f>
        <v/>
      </c>
      <c r="L244" s="4" t="str">
        <f>IF(AND($E244=1,$F244=1),'入力シート（2事業場以降）'!J228,"")&amp;""</f>
        <v/>
      </c>
      <c r="M244" s="4" t="str">
        <f>IF(AND($E244=1,$F244=1),'入力シート（2事業場以降）'!N228,"")&amp;""</f>
        <v/>
      </c>
      <c r="N244" s="4" t="str">
        <f>IF(AND($E244=1,$F244=1),'入力シート（2事業場以降）'!R228,"")&amp;""</f>
        <v/>
      </c>
      <c r="O244" s="4" t="str">
        <f>IF(AND($E244=1,$F244=1),'入力シート（2事業場以降）'!V228,"")&amp;""</f>
        <v/>
      </c>
      <c r="P244" s="4" t="str">
        <f>IFERROR(VLOOKUP($G244,#REF!,10,FALSE),"")</f>
        <v/>
      </c>
      <c r="Q244" s="12" t="str">
        <f>IF(AND($E244=1,$F244=2),TRIM(CLEAN('入力シート（2事業場以降）'!#REF!)),"")&amp;""</f>
        <v/>
      </c>
      <c r="R244" s="12" t="str">
        <f>IF(AND($E244=1,$F244=2),TRIM(CLEAN('入力シート（2事業場以降）'!#REF!)),"")&amp;""</f>
        <v/>
      </c>
      <c r="S244" s="12" t="str">
        <f>IF(AND($E244=1,$F244=2),TRIM(CLEAN('入力シート（2事業場以降）'!#REF!)),"")&amp;""</f>
        <v/>
      </c>
      <c r="T244" s="12" t="str">
        <f>IF(AND($E244=1,$F244=2),TRIM(CLEAN('入力シート（2事業場以降）'!#REF!)),"")&amp;""</f>
        <v/>
      </c>
      <c r="U244" s="10" t="str">
        <f>IF(AND($E244=1,$F244=1),'入力シート（2事業場以降）'!H228,"")&amp;""</f>
        <v/>
      </c>
      <c r="V244">
        <v>10</v>
      </c>
      <c r="W244" s="41" t="str">
        <f t="shared" ca="1" si="61"/>
        <v>OK</v>
      </c>
      <c r="X244" t="str">
        <f t="shared" ca="1" si="48"/>
        <v>コード番号を選択してください。</v>
      </c>
      <c r="Y244">
        <f t="shared" si="44"/>
        <v>1</v>
      </c>
      <c r="Z244">
        <f t="shared" si="51"/>
        <v>0</v>
      </c>
      <c r="AA244" t="str">
        <f>"コード番号を選択してください。"</f>
        <v>コード番号を選択してください。</v>
      </c>
      <c r="AB244" t="str">
        <f t="shared" si="62"/>
        <v>コード番号を選択してください。</v>
      </c>
      <c r="AC244" t="s">
        <v>179</v>
      </c>
      <c r="AD244" s="18"/>
      <c r="AE244" s="18"/>
      <c r="AF244" t="s">
        <v>180</v>
      </c>
      <c r="AH244">
        <f t="shared" si="45"/>
        <v>9999</v>
      </c>
      <c r="AI244">
        <f>SMALL($AH$187:$AH$276,58)</f>
        <v>9999</v>
      </c>
      <c r="AJ244" t="e">
        <f t="shared" si="46"/>
        <v>#N/A</v>
      </c>
      <c r="AK244" t="str">
        <f t="shared" si="47"/>
        <v>事業場99</v>
      </c>
    </row>
    <row r="245" spans="2:37" x14ac:dyDescent="0.2">
      <c r="B245" s="5">
        <v>20</v>
      </c>
      <c r="C245" s="5">
        <v>2</v>
      </c>
      <c r="D245" s="4">
        <v>2002</v>
      </c>
      <c r="E245" s="4">
        <f t="shared" si="64"/>
        <v>0</v>
      </c>
      <c r="F245" s="12">
        <f>'入力シート（2事業場以降）'!AQ230</f>
        <v>0</v>
      </c>
      <c r="G245" s="4" t="str">
        <f>IF(AND($E245=1,$F245=1),'入力シート（2事業場以降）'!F230,"")&amp;""</f>
        <v/>
      </c>
      <c r="H245" s="12" t="str">
        <f>IFERROR(VLOOKUP($G245,#REF!,3,FALSE),"")</f>
        <v/>
      </c>
      <c r="I245" s="12" t="str">
        <f>IFERROR(VLOOKUP($G245,#REF!,4,FALSE),"")</f>
        <v/>
      </c>
      <c r="J245" s="12" t="str">
        <f>IFERROR(VLOOKUP($G245,#REF!,5,FALSE),"")</f>
        <v/>
      </c>
      <c r="K245" s="12" t="str">
        <f>IFERROR(VLOOKUP($G245,#REF!,6,FALSE),"")</f>
        <v/>
      </c>
      <c r="L245" s="4" t="str">
        <f>IF(AND($E245=1,$F245=1),'入力シート（2事業場以降）'!J230,"")&amp;""</f>
        <v/>
      </c>
      <c r="M245" s="4" t="str">
        <f>IF(AND($E245=1,$F245=1),'入力シート（2事業場以降）'!N230,"")&amp;""</f>
        <v/>
      </c>
      <c r="N245" s="4" t="str">
        <f>IF(AND($E245=1,$F245=1),'入力シート（2事業場以降）'!R230,"")&amp;""</f>
        <v/>
      </c>
      <c r="O245" s="4" t="str">
        <f>IF(AND($E245=1,$F245=1),'入力シート（2事業場以降）'!V230,"")&amp;""</f>
        <v/>
      </c>
      <c r="P245" s="4" t="str">
        <f>IFERROR(VLOOKUP($G245,#REF!,10,FALSE),"")</f>
        <v/>
      </c>
      <c r="Q245" s="12" t="str">
        <f>IF(AND($E245=1,$F245=2),TRIM(CLEAN('入力シート（2事業場以降）'!#REF!)),"")&amp;""</f>
        <v/>
      </c>
      <c r="R245" s="12" t="str">
        <f>IF(AND($E245=1,$F245=2),TRIM(CLEAN('入力シート（2事業場以降）'!#REF!)),"")&amp;""</f>
        <v/>
      </c>
      <c r="S245" s="12" t="str">
        <f>IF(AND($E245=1,$F245=2),TRIM(CLEAN('入力シート（2事業場以降）'!#REF!)),"")&amp;""</f>
        <v/>
      </c>
      <c r="T245" s="12" t="str">
        <f>IF(AND($E245=1,$F245=2),TRIM(CLEAN('入力シート（2事業場以降）'!#REF!)),"")&amp;""</f>
        <v/>
      </c>
      <c r="U245" s="10" t="str">
        <f>IF(AND($E245=1,$F245=1),'入力シート（2事業場以降）'!H230,"")&amp;""</f>
        <v/>
      </c>
      <c r="W245" s="41" t="str">
        <f t="shared" ca="1" si="61"/>
        <v>OK</v>
      </c>
      <c r="X245" t="str">
        <f t="shared" ca="1" si="48"/>
        <v/>
      </c>
      <c r="Y245">
        <f t="shared" si="44"/>
        <v>1</v>
      </c>
      <c r="Z245">
        <f t="shared" si="51"/>
        <v>2</v>
      </c>
      <c r="AA245" s="18"/>
      <c r="AB245" t="str">
        <f t="shared" si="62"/>
        <v>コード番号を選択してください。</v>
      </c>
      <c r="AC245" t="s">
        <v>179</v>
      </c>
      <c r="AD245" s="18"/>
      <c r="AE245" t="str">
        <f>C244&amp;"つ目の研修が入力されていません。"&amp;CHAR(10)&amp;"詰めて入力してください。"</f>
        <v>1つ目の研修が入力されていません。
詰めて入力してください。</v>
      </c>
      <c r="AF245" t="s">
        <v>180</v>
      </c>
      <c r="AH245">
        <f t="shared" si="45"/>
        <v>9999</v>
      </c>
      <c r="AI245">
        <f>SMALL($AH$187:$AH$276,59)</f>
        <v>9999</v>
      </c>
      <c r="AJ245" t="e">
        <f t="shared" si="46"/>
        <v>#N/A</v>
      </c>
      <c r="AK245" t="str">
        <f t="shared" si="47"/>
        <v>事業場99</v>
      </c>
    </row>
    <row r="246" spans="2:37" x14ac:dyDescent="0.2">
      <c r="B246" s="5">
        <v>20</v>
      </c>
      <c r="C246" s="5">
        <v>3</v>
      </c>
      <c r="D246" s="4">
        <v>2003</v>
      </c>
      <c r="E246" s="4">
        <f t="shared" si="64"/>
        <v>0</v>
      </c>
      <c r="F246" s="12">
        <f>'入力シート（2事業場以降）'!AQ232</f>
        <v>0</v>
      </c>
      <c r="G246" s="4" t="str">
        <f>IF(AND($E246=1,$F246=1),'入力シート（2事業場以降）'!F232,"")&amp;""</f>
        <v/>
      </c>
      <c r="H246" s="12" t="str">
        <f>IFERROR(VLOOKUP($G246,#REF!,3,FALSE),"")</f>
        <v/>
      </c>
      <c r="I246" s="12" t="str">
        <f>IFERROR(VLOOKUP($G246,#REF!,4,FALSE),"")</f>
        <v/>
      </c>
      <c r="J246" s="12" t="str">
        <f>IFERROR(VLOOKUP($G246,#REF!,5,FALSE),"")</f>
        <v/>
      </c>
      <c r="K246" s="12" t="str">
        <f>IFERROR(VLOOKUP($G246,#REF!,6,FALSE),"")</f>
        <v/>
      </c>
      <c r="L246" s="4" t="str">
        <f>IF(AND($E246=1,$F246=1),'入力シート（2事業場以降）'!J232,"")&amp;""</f>
        <v/>
      </c>
      <c r="M246" s="4" t="str">
        <f>IF(AND($E246=1,$F246=1),'入力シート（2事業場以降）'!N232,"")&amp;""</f>
        <v/>
      </c>
      <c r="N246" s="4" t="str">
        <f>IF(AND($E246=1,$F246=1),'入力シート（2事業場以降）'!R232,"")&amp;""</f>
        <v/>
      </c>
      <c r="O246" s="4" t="str">
        <f>IF(AND($E246=1,$F246=1),'入力シート（2事業場以降）'!V232,"")&amp;""</f>
        <v/>
      </c>
      <c r="P246" s="4" t="str">
        <f>IFERROR(VLOOKUP($G246,#REF!,10,FALSE),"")</f>
        <v/>
      </c>
      <c r="Q246" s="12" t="str">
        <f>IF(AND($E246=1,$F246=2),TRIM(CLEAN('入力シート（2事業場以降）'!#REF!)),"")&amp;""</f>
        <v/>
      </c>
      <c r="R246" s="12" t="str">
        <f>IF(AND($E246=1,$F246=2),TRIM(CLEAN('入力シート（2事業場以降）'!#REF!)),"")&amp;""</f>
        <v/>
      </c>
      <c r="S246" s="12" t="str">
        <f>IF(AND($E246=1,$F246=2),TRIM(CLEAN('入力シート（2事業場以降）'!#REF!)),"")&amp;""</f>
        <v/>
      </c>
      <c r="T246" s="12" t="str">
        <f>IF(AND($E246=1,$F246=2),TRIM(CLEAN('入力シート（2事業場以降）'!#REF!)),"")&amp;""</f>
        <v/>
      </c>
      <c r="U246" s="10" t="str">
        <f>IF(AND($E246=1,$F246=1),'入力シート（2事業場以降）'!H232,"")&amp;""</f>
        <v/>
      </c>
      <c r="W246" s="41" t="str">
        <f t="shared" ca="1" si="61"/>
        <v>OK</v>
      </c>
      <c r="X246" t="str">
        <f t="shared" ca="1" si="48"/>
        <v/>
      </c>
      <c r="Y246">
        <f t="shared" si="44"/>
        <v>1</v>
      </c>
      <c r="Z246">
        <f t="shared" si="51"/>
        <v>1</v>
      </c>
      <c r="AA246" s="18"/>
      <c r="AB246" t="str">
        <f t="shared" si="62"/>
        <v>コード番号を選択してください。</v>
      </c>
      <c r="AC246" t="s">
        <v>179</v>
      </c>
      <c r="AD246" t="str">
        <f t="shared" ref="AD246" si="73">AE245</f>
        <v>1つ目の研修が入力されていません。
詰めて入力してください。</v>
      </c>
      <c r="AE246" t="str">
        <f>C245&amp;"つ目の研修が入力されていません。"&amp;CHAR(10)&amp;"詰めて入力してください。"</f>
        <v>2つ目の研修が入力されていません。
詰めて入力してください。</v>
      </c>
      <c r="AF246" t="s">
        <v>180</v>
      </c>
      <c r="AH246">
        <f t="shared" si="45"/>
        <v>9999</v>
      </c>
      <c r="AI246">
        <f>SMALL($AH$187:$AH$276,60)</f>
        <v>9999</v>
      </c>
      <c r="AJ246" t="e">
        <f t="shared" si="46"/>
        <v>#N/A</v>
      </c>
      <c r="AK246" t="str">
        <f t="shared" si="47"/>
        <v>事業場99</v>
      </c>
    </row>
    <row r="247" spans="2:37" x14ac:dyDescent="0.2">
      <c r="B247" s="5">
        <v>21</v>
      </c>
      <c r="C247" s="5">
        <v>1</v>
      </c>
      <c r="D247" s="4">
        <v>2101</v>
      </c>
      <c r="E247" s="4">
        <f t="shared" si="64"/>
        <v>0</v>
      </c>
      <c r="F247" s="12">
        <f>'入力シート（2事業場以降）'!AQ235</f>
        <v>0</v>
      </c>
      <c r="G247" s="4" t="str">
        <f>IF(AND($E247=1,$F247=1),'入力シート（2事業場以降）'!F235,"")&amp;""</f>
        <v/>
      </c>
      <c r="H247" s="12" t="str">
        <f>IFERROR(VLOOKUP($G247,#REF!,3,FALSE),"")</f>
        <v/>
      </c>
      <c r="I247" s="12" t="str">
        <f>IFERROR(VLOOKUP($G247,#REF!,4,FALSE),"")</f>
        <v/>
      </c>
      <c r="J247" s="12" t="str">
        <f>IFERROR(VLOOKUP($G247,#REF!,5,FALSE),"")</f>
        <v/>
      </c>
      <c r="K247" s="12" t="str">
        <f>IFERROR(VLOOKUP($G247,#REF!,6,FALSE),"")</f>
        <v/>
      </c>
      <c r="L247" s="4" t="str">
        <f>IF(AND($E247=1,$F247=1),'入力シート（2事業場以降）'!J235,"")&amp;""</f>
        <v/>
      </c>
      <c r="M247" s="4" t="str">
        <f>IF(AND($E247=1,$F247=1),'入力シート（2事業場以降）'!N235,"")&amp;""</f>
        <v/>
      </c>
      <c r="N247" s="4" t="str">
        <f>IF(AND($E247=1,$F247=1),'入力シート（2事業場以降）'!R235,"")&amp;""</f>
        <v/>
      </c>
      <c r="O247" s="4" t="str">
        <f>IF(AND($E247=1,$F247=1),'入力シート（2事業場以降）'!V235,"")&amp;""</f>
        <v/>
      </c>
      <c r="P247" s="4" t="str">
        <f>IFERROR(VLOOKUP($G247,#REF!,10,FALSE),"")</f>
        <v/>
      </c>
      <c r="Q247" s="12" t="str">
        <f>IF(AND($E247=1,$F247=2),TRIM(CLEAN('入力シート（2事業場以降）'!#REF!)),"")&amp;""</f>
        <v/>
      </c>
      <c r="R247" s="12" t="str">
        <f>IF(AND($E247=1,$F247=2),TRIM(CLEAN('入力シート（2事業場以降）'!#REF!)),"")&amp;""</f>
        <v/>
      </c>
      <c r="S247" s="12" t="str">
        <f>IF(AND($E247=1,$F247=2),TRIM(CLEAN('入力シート（2事業場以降）'!#REF!)),"")&amp;""</f>
        <v/>
      </c>
      <c r="T247" s="12" t="str">
        <f>IF(AND($E247=1,$F247=2),TRIM(CLEAN('入力シート（2事業場以降）'!#REF!)),"")&amp;""</f>
        <v/>
      </c>
      <c r="U247" s="10" t="str">
        <f>IF(AND($E247=1,$F247=1),'入力シート（2事業場以降）'!H235,"")&amp;""</f>
        <v/>
      </c>
      <c r="V247">
        <v>1</v>
      </c>
      <c r="W247" s="41" t="str">
        <f t="shared" ca="1" si="61"/>
        <v>OK</v>
      </c>
      <c r="X247" t="str">
        <f t="shared" ca="1" si="48"/>
        <v>コード番号を選択してください。</v>
      </c>
      <c r="Y247">
        <f t="shared" si="44"/>
        <v>1</v>
      </c>
      <c r="Z247">
        <f t="shared" si="51"/>
        <v>0</v>
      </c>
      <c r="AA247" t="str">
        <f>"コード番号を選択してください。"</f>
        <v>コード番号を選択してください。</v>
      </c>
      <c r="AB247" t="str">
        <f t="shared" si="62"/>
        <v>コード番号を選択してください。</v>
      </c>
      <c r="AC247" t="s">
        <v>179</v>
      </c>
      <c r="AD247" s="18"/>
      <c r="AE247" s="18"/>
      <c r="AF247" t="s">
        <v>180</v>
      </c>
      <c r="AH247">
        <f t="shared" si="45"/>
        <v>9999</v>
      </c>
      <c r="AI247">
        <f>SMALL($AH$187:$AH$276,61)</f>
        <v>9999</v>
      </c>
      <c r="AJ247" t="e">
        <f t="shared" si="46"/>
        <v>#N/A</v>
      </c>
      <c r="AK247" t="str">
        <f t="shared" si="47"/>
        <v>事業場99</v>
      </c>
    </row>
    <row r="248" spans="2:37" x14ac:dyDescent="0.2">
      <c r="B248" s="5">
        <v>21</v>
      </c>
      <c r="C248" s="5">
        <v>2</v>
      </c>
      <c r="D248" s="4">
        <v>2102</v>
      </c>
      <c r="E248" s="4">
        <f t="shared" si="64"/>
        <v>0</v>
      </c>
      <c r="F248" s="12">
        <f>'入力シート（2事業場以降）'!AQ237</f>
        <v>0</v>
      </c>
      <c r="G248" s="4" t="str">
        <f>IF(AND($E248=1,$F248=1),'入力シート（2事業場以降）'!F237,"")&amp;""</f>
        <v/>
      </c>
      <c r="H248" s="12" t="str">
        <f>IFERROR(VLOOKUP($G248,#REF!,3,FALSE),"")</f>
        <v/>
      </c>
      <c r="I248" s="12" t="str">
        <f>IFERROR(VLOOKUP($G248,#REF!,4,FALSE),"")</f>
        <v/>
      </c>
      <c r="J248" s="12" t="str">
        <f>IFERROR(VLOOKUP($G248,#REF!,5,FALSE),"")</f>
        <v/>
      </c>
      <c r="K248" s="12" t="str">
        <f>IFERROR(VLOOKUP($G248,#REF!,6,FALSE),"")</f>
        <v/>
      </c>
      <c r="L248" s="4" t="str">
        <f>IF(AND($E248=1,$F248=1),'入力シート（2事業場以降）'!J237,"")&amp;""</f>
        <v/>
      </c>
      <c r="M248" s="4" t="str">
        <f>IF(AND($E248=1,$F248=1),'入力シート（2事業場以降）'!N237,"")&amp;""</f>
        <v/>
      </c>
      <c r="N248" s="4" t="str">
        <f>IF(AND($E248=1,$F248=1),'入力シート（2事業場以降）'!R237,"")&amp;""</f>
        <v/>
      </c>
      <c r="O248" s="4" t="str">
        <f>IF(AND($E248=1,$F248=1),'入力シート（2事業場以降）'!V237,"")&amp;""</f>
        <v/>
      </c>
      <c r="P248" s="4" t="str">
        <f>IFERROR(VLOOKUP($G248,#REF!,10,FALSE),"")</f>
        <v/>
      </c>
      <c r="Q248" s="12" t="str">
        <f>IF(AND($E248=1,$F248=2),TRIM(CLEAN('入力シート（2事業場以降）'!#REF!)),"")&amp;""</f>
        <v/>
      </c>
      <c r="R248" s="12" t="str">
        <f>IF(AND($E248=1,$F248=2),TRIM(CLEAN('入力シート（2事業場以降）'!#REF!)),"")&amp;""</f>
        <v/>
      </c>
      <c r="S248" s="12" t="str">
        <f>IF(AND($E248=1,$F248=2),TRIM(CLEAN('入力シート（2事業場以降）'!#REF!)),"")&amp;""</f>
        <v/>
      </c>
      <c r="T248" s="12" t="str">
        <f>IF(AND($E248=1,$F248=2),TRIM(CLEAN('入力シート（2事業場以降）'!#REF!)),"")&amp;""</f>
        <v/>
      </c>
      <c r="U248" s="10" t="str">
        <f>IF(AND($E248=1,$F248=1),'入力シート（2事業場以降）'!H237,"")&amp;""</f>
        <v/>
      </c>
      <c r="W248" s="41" t="str">
        <f t="shared" ca="1" si="61"/>
        <v>OK</v>
      </c>
      <c r="X248" t="str">
        <f t="shared" ca="1" si="48"/>
        <v/>
      </c>
      <c r="Y248">
        <f t="shared" si="44"/>
        <v>1</v>
      </c>
      <c r="Z248">
        <f t="shared" si="51"/>
        <v>2</v>
      </c>
      <c r="AA248" s="18"/>
      <c r="AB248" t="str">
        <f t="shared" si="62"/>
        <v>コード番号を選択してください。</v>
      </c>
      <c r="AC248" t="s">
        <v>179</v>
      </c>
      <c r="AD248" s="18"/>
      <c r="AE248" t="str">
        <f>C247&amp;"つ目の研修が入力されていません。"&amp;CHAR(10)&amp;"詰めて入力してください。"</f>
        <v>1つ目の研修が入力されていません。
詰めて入力してください。</v>
      </c>
      <c r="AF248" t="s">
        <v>180</v>
      </c>
      <c r="AH248">
        <f t="shared" si="45"/>
        <v>9999</v>
      </c>
      <c r="AI248">
        <f>SMALL($AH$187:$AH$276,62)</f>
        <v>9999</v>
      </c>
      <c r="AJ248" t="e">
        <f t="shared" si="46"/>
        <v>#N/A</v>
      </c>
      <c r="AK248" t="str">
        <f t="shared" si="47"/>
        <v>事業場99</v>
      </c>
    </row>
    <row r="249" spans="2:37" x14ac:dyDescent="0.2">
      <c r="B249" s="5">
        <v>21</v>
      </c>
      <c r="C249" s="5">
        <v>3</v>
      </c>
      <c r="D249" s="4">
        <v>2103</v>
      </c>
      <c r="E249" s="4">
        <f t="shared" si="64"/>
        <v>0</v>
      </c>
      <c r="F249" s="12">
        <f>'入力シート（2事業場以降）'!AQ239</f>
        <v>0</v>
      </c>
      <c r="G249" s="4" t="str">
        <f>IF(AND($E249=1,$F249=1),'入力シート（2事業場以降）'!F239,"")&amp;""</f>
        <v/>
      </c>
      <c r="H249" s="12" t="str">
        <f>IFERROR(VLOOKUP($G249,#REF!,3,FALSE),"")</f>
        <v/>
      </c>
      <c r="I249" s="12" t="str">
        <f>IFERROR(VLOOKUP($G249,#REF!,4,FALSE),"")</f>
        <v/>
      </c>
      <c r="J249" s="12" t="str">
        <f>IFERROR(VLOOKUP($G249,#REF!,5,FALSE),"")</f>
        <v/>
      </c>
      <c r="K249" s="12" t="str">
        <f>IFERROR(VLOOKUP($G249,#REF!,6,FALSE),"")</f>
        <v/>
      </c>
      <c r="L249" s="4" t="str">
        <f>IF(AND($E249=1,$F249=1),'入力シート（2事業場以降）'!J239,"")&amp;""</f>
        <v/>
      </c>
      <c r="M249" s="4" t="str">
        <f>IF(AND($E249=1,$F249=1),'入力シート（2事業場以降）'!N239,"")&amp;""</f>
        <v/>
      </c>
      <c r="N249" s="4" t="str">
        <f>IF(AND($E249=1,$F249=1),'入力シート（2事業場以降）'!R239,"")&amp;""</f>
        <v/>
      </c>
      <c r="O249" s="4" t="str">
        <f>IF(AND($E249=1,$F249=1),'入力シート（2事業場以降）'!V239,"")&amp;""</f>
        <v/>
      </c>
      <c r="P249" s="4" t="str">
        <f>IFERROR(VLOOKUP($G249,#REF!,10,FALSE),"")</f>
        <v/>
      </c>
      <c r="Q249" s="12" t="str">
        <f>IF(AND($E249=1,$F249=2),TRIM(CLEAN('入力シート（2事業場以降）'!#REF!)),"")&amp;""</f>
        <v/>
      </c>
      <c r="R249" s="12" t="str">
        <f>IF(AND($E249=1,$F249=2),TRIM(CLEAN('入力シート（2事業場以降）'!#REF!)),"")&amp;""</f>
        <v/>
      </c>
      <c r="S249" s="12" t="str">
        <f>IF(AND($E249=1,$F249=2),TRIM(CLEAN('入力シート（2事業場以降）'!#REF!)),"")&amp;""</f>
        <v/>
      </c>
      <c r="T249" s="12" t="str">
        <f>IF(AND($E249=1,$F249=2),TRIM(CLEAN('入力シート（2事業場以降）'!#REF!)),"")&amp;""</f>
        <v/>
      </c>
      <c r="U249" s="10" t="str">
        <f>IF(AND($E249=1,$F249=1),'入力シート（2事業場以降）'!H239,"")&amp;""</f>
        <v/>
      </c>
      <c r="W249" s="41" t="str">
        <f t="shared" ca="1" si="61"/>
        <v>OK</v>
      </c>
      <c r="X249" t="str">
        <f t="shared" ca="1" si="48"/>
        <v/>
      </c>
      <c r="Y249">
        <f t="shared" si="44"/>
        <v>1</v>
      </c>
      <c r="Z249">
        <f t="shared" si="51"/>
        <v>1</v>
      </c>
      <c r="AA249" s="18"/>
      <c r="AB249" t="str">
        <f t="shared" si="62"/>
        <v>コード番号を選択してください。</v>
      </c>
      <c r="AC249" t="s">
        <v>179</v>
      </c>
      <c r="AD249" t="str">
        <f t="shared" ref="AD249" si="74">AE248</f>
        <v>1つ目の研修が入力されていません。
詰めて入力してください。</v>
      </c>
      <c r="AE249" t="str">
        <f>C248&amp;"つ目の研修が入力されていません。"&amp;CHAR(10)&amp;"詰めて入力してください。"</f>
        <v>2つ目の研修が入力されていません。
詰めて入力してください。</v>
      </c>
      <c r="AF249" t="s">
        <v>180</v>
      </c>
      <c r="AH249">
        <f t="shared" si="45"/>
        <v>9999</v>
      </c>
      <c r="AI249">
        <f>SMALL($AH$187:$AH$276,63)</f>
        <v>9999</v>
      </c>
      <c r="AJ249" t="e">
        <f t="shared" si="46"/>
        <v>#N/A</v>
      </c>
      <c r="AK249" t="str">
        <f t="shared" si="47"/>
        <v>事業場99</v>
      </c>
    </row>
    <row r="250" spans="2:37" x14ac:dyDescent="0.2">
      <c r="B250" s="5">
        <v>22</v>
      </c>
      <c r="C250" s="5">
        <v>1</v>
      </c>
      <c r="D250" s="4">
        <v>2201</v>
      </c>
      <c r="E250" s="4">
        <f t="shared" si="64"/>
        <v>0</v>
      </c>
      <c r="F250" s="12">
        <f>'入力シート（2事業場以降）'!AQ242</f>
        <v>0</v>
      </c>
      <c r="G250" s="4" t="str">
        <f>IF(AND($E250=1,$F250=1),'入力シート（2事業場以降）'!F242,"")&amp;""</f>
        <v/>
      </c>
      <c r="H250" s="12" t="str">
        <f>IFERROR(VLOOKUP($G250,#REF!,3,FALSE),"")</f>
        <v/>
      </c>
      <c r="I250" s="12" t="str">
        <f>IFERROR(VLOOKUP($G250,#REF!,4,FALSE),"")</f>
        <v/>
      </c>
      <c r="J250" s="12" t="str">
        <f>IFERROR(VLOOKUP($G250,#REF!,5,FALSE),"")</f>
        <v/>
      </c>
      <c r="K250" s="12" t="str">
        <f>IFERROR(VLOOKUP($G250,#REF!,6,FALSE),"")</f>
        <v/>
      </c>
      <c r="L250" s="4" t="str">
        <f>IF(AND($E250=1,$F250=1),'入力シート（2事業場以降）'!J242,"")&amp;""</f>
        <v/>
      </c>
      <c r="M250" s="4" t="str">
        <f>IF(AND($E250=1,$F250=1),'入力シート（2事業場以降）'!N242,"")&amp;""</f>
        <v/>
      </c>
      <c r="N250" s="4" t="str">
        <f>IF(AND($E250=1,$F250=1),'入力シート（2事業場以降）'!R242,"")&amp;""</f>
        <v/>
      </c>
      <c r="O250" s="4" t="str">
        <f>IF(AND($E250=1,$F250=1),'入力シート（2事業場以降）'!V242,"")&amp;""</f>
        <v/>
      </c>
      <c r="P250" s="4" t="str">
        <f>IFERROR(VLOOKUP($G250,#REF!,10,FALSE),"")</f>
        <v/>
      </c>
      <c r="Q250" s="12" t="str">
        <f>IF(AND($E250=1,$F250=2),TRIM(CLEAN('入力シート（2事業場以降）'!#REF!)),"")&amp;""</f>
        <v/>
      </c>
      <c r="R250" s="12" t="str">
        <f>IF(AND($E250=1,$F250=2),TRIM(CLEAN('入力シート（2事業場以降）'!#REF!)),"")&amp;""</f>
        <v/>
      </c>
      <c r="S250" s="12" t="str">
        <f>IF(AND($E250=1,$F250=2),TRIM(CLEAN('入力シート（2事業場以降）'!#REF!)),"")&amp;""</f>
        <v/>
      </c>
      <c r="T250" s="12" t="str">
        <f>IF(AND($E250=1,$F250=2),TRIM(CLEAN('入力シート（2事業場以降）'!#REF!)),"")&amp;""</f>
        <v/>
      </c>
      <c r="U250" s="10" t="str">
        <f>IF(AND($E250=1,$F250=1),'入力シート（2事業場以降）'!H242,"")&amp;""</f>
        <v/>
      </c>
      <c r="V250">
        <v>2</v>
      </c>
      <c r="W250" s="41" t="str">
        <f t="shared" ca="1" si="61"/>
        <v>OK</v>
      </c>
      <c r="X250" t="str">
        <f t="shared" ca="1" si="48"/>
        <v>コード番号を選択してください。</v>
      </c>
      <c r="Y250">
        <f t="shared" si="44"/>
        <v>1</v>
      </c>
      <c r="Z250">
        <f t="shared" si="51"/>
        <v>0</v>
      </c>
      <c r="AA250" t="str">
        <f>"コード番号を選択してください。"</f>
        <v>コード番号を選択してください。</v>
      </c>
      <c r="AB250" t="str">
        <f t="shared" si="62"/>
        <v>コード番号を選択してください。</v>
      </c>
      <c r="AC250" t="s">
        <v>179</v>
      </c>
      <c r="AD250" s="18"/>
      <c r="AE250" s="18"/>
      <c r="AF250" t="s">
        <v>180</v>
      </c>
      <c r="AH250">
        <f t="shared" si="45"/>
        <v>9999</v>
      </c>
      <c r="AI250">
        <f>SMALL($AH$187:$AH$276,64)</f>
        <v>9999</v>
      </c>
      <c r="AJ250" t="e">
        <f t="shared" si="46"/>
        <v>#N/A</v>
      </c>
      <c r="AK250" t="str">
        <f t="shared" si="47"/>
        <v>事業場99</v>
      </c>
    </row>
    <row r="251" spans="2:37" x14ac:dyDescent="0.2">
      <c r="B251" s="5">
        <v>22</v>
      </c>
      <c r="C251" s="5">
        <v>2</v>
      </c>
      <c r="D251" s="4">
        <v>2202</v>
      </c>
      <c r="E251" s="4">
        <f t="shared" si="64"/>
        <v>0</v>
      </c>
      <c r="F251" s="12">
        <f>'入力シート（2事業場以降）'!AQ244</f>
        <v>0</v>
      </c>
      <c r="G251" s="4" t="str">
        <f>IF(AND($E251=1,$F251=1),'入力シート（2事業場以降）'!F244,"")&amp;""</f>
        <v/>
      </c>
      <c r="H251" s="12" t="str">
        <f>IFERROR(VLOOKUP($G251,#REF!,3,FALSE),"")</f>
        <v/>
      </c>
      <c r="I251" s="12" t="str">
        <f>IFERROR(VLOOKUP($G251,#REF!,4,FALSE),"")</f>
        <v/>
      </c>
      <c r="J251" s="12" t="str">
        <f>IFERROR(VLOOKUP($G251,#REF!,5,FALSE),"")</f>
        <v/>
      </c>
      <c r="K251" s="12" t="str">
        <f>IFERROR(VLOOKUP($G251,#REF!,6,FALSE),"")</f>
        <v/>
      </c>
      <c r="L251" s="4" t="str">
        <f>IF(AND($E251=1,$F251=1),'入力シート（2事業場以降）'!J244,"")&amp;""</f>
        <v/>
      </c>
      <c r="M251" s="4" t="str">
        <f>IF(AND($E251=1,$F251=1),'入力シート（2事業場以降）'!N244,"")&amp;""</f>
        <v/>
      </c>
      <c r="N251" s="4" t="str">
        <f>IF(AND($E251=1,$F251=1),'入力シート（2事業場以降）'!R244,"")&amp;""</f>
        <v/>
      </c>
      <c r="O251" s="4" t="str">
        <f>IF(AND($E251=1,$F251=1),'入力シート（2事業場以降）'!V244,"")&amp;""</f>
        <v/>
      </c>
      <c r="P251" s="4" t="str">
        <f>IFERROR(VLOOKUP($G251,#REF!,10,FALSE),"")</f>
        <v/>
      </c>
      <c r="Q251" s="12" t="str">
        <f>IF(AND($E251=1,$F251=2),TRIM(CLEAN('入力シート（2事業場以降）'!#REF!)),"")&amp;""</f>
        <v/>
      </c>
      <c r="R251" s="12" t="str">
        <f>IF(AND($E251=1,$F251=2),TRIM(CLEAN('入力シート（2事業場以降）'!#REF!)),"")&amp;""</f>
        <v/>
      </c>
      <c r="S251" s="12" t="str">
        <f>IF(AND($E251=1,$F251=2),TRIM(CLEAN('入力シート（2事業場以降）'!#REF!)),"")&amp;""</f>
        <v/>
      </c>
      <c r="T251" s="12" t="str">
        <f>IF(AND($E251=1,$F251=2),TRIM(CLEAN('入力シート（2事業場以降）'!#REF!)),"")&amp;""</f>
        <v/>
      </c>
      <c r="U251" s="10" t="str">
        <f>IF(AND($E251=1,$F251=1),'入力シート（2事業場以降）'!H244,"")&amp;""</f>
        <v/>
      </c>
      <c r="W251" s="41" t="str">
        <f t="shared" ref="W251:W276" ca="1" si="75">IF(AND(B251&lt;=$G$3,X251&lt;&gt;""),IF(X251="OK",X251,"NG"),"OK")</f>
        <v>OK</v>
      </c>
      <c r="X251" t="str">
        <f t="shared" ca="1" si="48"/>
        <v/>
      </c>
      <c r="Y251">
        <f t="shared" si="44"/>
        <v>1</v>
      </c>
      <c r="Z251">
        <f t="shared" si="51"/>
        <v>2</v>
      </c>
      <c r="AA251" s="18"/>
      <c r="AB251" t="str">
        <f t="shared" ref="AB251:AB276" si="76">$G$186&amp;"を選択してください。"</f>
        <v>コード番号を選択してください。</v>
      </c>
      <c r="AC251" t="s">
        <v>179</v>
      </c>
      <c r="AD251" s="18"/>
      <c r="AE251" t="str">
        <f>C250&amp;"つ目の研修が入力されていません。"&amp;CHAR(10)&amp;"詰めて入力してください。"</f>
        <v>1つ目の研修が入力されていません。
詰めて入力してください。</v>
      </c>
      <c r="AF251" t="s">
        <v>180</v>
      </c>
      <c r="AH251">
        <f t="shared" si="45"/>
        <v>9999</v>
      </c>
      <c r="AI251">
        <f>SMALL($AH$187:$AH$276,65)</f>
        <v>9999</v>
      </c>
      <c r="AJ251" t="e">
        <f t="shared" si="46"/>
        <v>#N/A</v>
      </c>
      <c r="AK251" t="str">
        <f t="shared" si="47"/>
        <v>事業場99</v>
      </c>
    </row>
    <row r="252" spans="2:37" x14ac:dyDescent="0.2">
      <c r="B252" s="5">
        <v>22</v>
      </c>
      <c r="C252" s="5">
        <v>3</v>
      </c>
      <c r="D252" s="4">
        <v>2203</v>
      </c>
      <c r="E252" s="4">
        <f t="shared" si="64"/>
        <v>0</v>
      </c>
      <c r="F252" s="12">
        <f>'入力シート（2事業場以降）'!AQ246</f>
        <v>0</v>
      </c>
      <c r="G252" s="4" t="str">
        <f>IF(AND($E252=1,$F252=1),'入力シート（2事業場以降）'!F246,"")&amp;""</f>
        <v/>
      </c>
      <c r="H252" s="12" t="str">
        <f>IFERROR(VLOOKUP($G252,#REF!,3,FALSE),"")</f>
        <v/>
      </c>
      <c r="I252" s="12" t="str">
        <f>IFERROR(VLOOKUP($G252,#REF!,4,FALSE),"")</f>
        <v/>
      </c>
      <c r="J252" s="12" t="str">
        <f>IFERROR(VLOOKUP($G252,#REF!,5,FALSE),"")</f>
        <v/>
      </c>
      <c r="K252" s="12" t="str">
        <f>IFERROR(VLOOKUP($G252,#REF!,6,FALSE),"")</f>
        <v/>
      </c>
      <c r="L252" s="4" t="str">
        <f>IF(AND($E252=1,$F252=1),'入力シート（2事業場以降）'!J246,"")&amp;""</f>
        <v/>
      </c>
      <c r="M252" s="4" t="str">
        <f>IF(AND($E252=1,$F252=1),'入力シート（2事業場以降）'!N246,"")&amp;""</f>
        <v/>
      </c>
      <c r="N252" s="4" t="str">
        <f>IF(AND($E252=1,$F252=1),'入力シート（2事業場以降）'!R246,"")&amp;""</f>
        <v/>
      </c>
      <c r="O252" s="4" t="str">
        <f>IF(AND($E252=1,$F252=1),'入力シート（2事業場以降）'!V246,"")&amp;""</f>
        <v/>
      </c>
      <c r="P252" s="4" t="str">
        <f>IFERROR(VLOOKUP($G252,#REF!,10,FALSE),"")</f>
        <v/>
      </c>
      <c r="Q252" s="12" t="str">
        <f>IF(AND($E252=1,$F252=2),TRIM(CLEAN('入力シート（2事業場以降）'!#REF!)),"")&amp;""</f>
        <v/>
      </c>
      <c r="R252" s="12" t="str">
        <f>IF(AND($E252=1,$F252=2),TRIM(CLEAN('入力シート（2事業場以降）'!#REF!)),"")&amp;""</f>
        <v/>
      </c>
      <c r="S252" s="12" t="str">
        <f>IF(AND($E252=1,$F252=2),TRIM(CLEAN('入力シート（2事業場以降）'!#REF!)),"")&amp;""</f>
        <v/>
      </c>
      <c r="T252" s="12" t="str">
        <f>IF(AND($E252=1,$F252=2),TRIM(CLEAN('入力シート（2事業場以降）'!#REF!)),"")&amp;""</f>
        <v/>
      </c>
      <c r="U252" s="10" t="str">
        <f>IF(AND($E252=1,$F252=1),'入力シート（2事業場以降）'!H246,"")&amp;""</f>
        <v/>
      </c>
      <c r="W252" s="41" t="str">
        <f t="shared" ca="1" si="75"/>
        <v>OK</v>
      </c>
      <c r="X252" t="str">
        <f t="shared" ref="X252:X276" ca="1" si="77">IF(Y252&lt;&gt;0,OFFSET(Z252,0,Y252),IF(Z252&lt;&gt;0,IF(Z252=-1,AC252,OFFSET(AC252,0,Z252)),$V$1))&amp;""</f>
        <v/>
      </c>
      <c r="Y252">
        <f t="shared" ref="Y252:Y276" si="78">IF(AND(F252=0,G252=""),1,0)</f>
        <v>1</v>
      </c>
      <c r="Z252">
        <f t="shared" si="51"/>
        <v>1</v>
      </c>
      <c r="AA252" s="18"/>
      <c r="AB252" t="str">
        <f t="shared" si="76"/>
        <v>コード番号を選択してください。</v>
      </c>
      <c r="AC252" t="s">
        <v>179</v>
      </c>
      <c r="AD252" t="str">
        <f t="shared" ref="AD252" si="79">AE251</f>
        <v>1つ目の研修が入力されていません。
詰めて入力してください。</v>
      </c>
      <c r="AE252" t="str">
        <f>C251&amp;"つ目の研修が入力されていません。"&amp;CHAR(10)&amp;"詰めて入力してください。"</f>
        <v>2つ目の研修が入力されていません。
詰めて入力してください。</v>
      </c>
      <c r="AF252" t="s">
        <v>180</v>
      </c>
      <c r="AH252">
        <f t="shared" ref="AH252:AH276" si="80">IF(AND(E252=1,Y252=0),VALUE(B252&amp;0&amp;C252),9999)</f>
        <v>9999</v>
      </c>
      <c r="AI252">
        <f>SMALL($AH$187:$AH$276,66)</f>
        <v>9999</v>
      </c>
      <c r="AJ252" t="e">
        <f t="shared" ref="AJ252:AJ276" si="81">VLOOKUP(AI252,$D$187:$U$276,18,FALSE)</f>
        <v>#N/A</v>
      </c>
      <c r="AK252" t="str">
        <f t="shared" ref="AK252:AK276" si="82">"事業場"&amp;IF(LEN(AI252)=3,LEFT(AI252,1),LEFT(AI252,2))</f>
        <v>事業場99</v>
      </c>
    </row>
    <row r="253" spans="2:37" x14ac:dyDescent="0.2">
      <c r="B253" s="5">
        <v>23</v>
      </c>
      <c r="C253" s="5">
        <v>1</v>
      </c>
      <c r="D253" s="4">
        <v>2301</v>
      </c>
      <c r="E253" s="4">
        <f t="shared" si="64"/>
        <v>0</v>
      </c>
      <c r="F253" s="12">
        <f>'入力シート（2事業場以降）'!AQ249</f>
        <v>0</v>
      </c>
      <c r="G253" s="4" t="str">
        <f>IF(AND($E253=1,$F253=1),'入力シート（2事業場以降）'!F249,"")&amp;""</f>
        <v/>
      </c>
      <c r="H253" s="12" t="str">
        <f>IFERROR(VLOOKUP($G253,#REF!,3,FALSE),"")</f>
        <v/>
      </c>
      <c r="I253" s="12" t="str">
        <f>IFERROR(VLOOKUP($G253,#REF!,4,FALSE),"")</f>
        <v/>
      </c>
      <c r="J253" s="12" t="str">
        <f>IFERROR(VLOOKUP($G253,#REF!,5,FALSE),"")</f>
        <v/>
      </c>
      <c r="K253" s="12" t="str">
        <f>IFERROR(VLOOKUP($G253,#REF!,6,FALSE),"")</f>
        <v/>
      </c>
      <c r="L253" s="4" t="str">
        <f>IF(AND($E253=1,$F253=1),'入力シート（2事業場以降）'!J249,"")&amp;""</f>
        <v/>
      </c>
      <c r="M253" s="4" t="str">
        <f>IF(AND($E253=1,$F253=1),'入力シート（2事業場以降）'!N249,"")&amp;""</f>
        <v/>
      </c>
      <c r="N253" s="4" t="str">
        <f>IF(AND($E253=1,$F253=1),'入力シート（2事業場以降）'!R249,"")&amp;""</f>
        <v/>
      </c>
      <c r="O253" s="4" t="str">
        <f>IF(AND($E253=1,$F253=1),'入力シート（2事業場以降）'!V249,"")&amp;""</f>
        <v/>
      </c>
      <c r="P253" s="4" t="str">
        <f>IFERROR(VLOOKUP($G253,#REF!,10,FALSE),"")</f>
        <v/>
      </c>
      <c r="Q253" s="12" t="str">
        <f>IF(AND($E253=1,$F253=2),TRIM(CLEAN('入力シート（2事業場以降）'!#REF!)),"")&amp;""</f>
        <v/>
      </c>
      <c r="R253" s="12" t="str">
        <f>IF(AND($E253=1,$F253=2),TRIM(CLEAN('入力シート（2事業場以降）'!#REF!)),"")&amp;""</f>
        <v/>
      </c>
      <c r="S253" s="12" t="str">
        <f>IF(AND($E253=1,$F253=2),TRIM(CLEAN('入力シート（2事業場以降）'!#REF!)),"")&amp;""</f>
        <v/>
      </c>
      <c r="T253" s="12" t="str">
        <f>IF(AND($E253=1,$F253=2),TRIM(CLEAN('入力シート（2事業場以降）'!#REF!)),"")&amp;""</f>
        <v/>
      </c>
      <c r="U253" s="10" t="str">
        <f>IF(AND($E253=1,$F253=1),'入力シート（2事業場以降）'!H249,"")&amp;""</f>
        <v/>
      </c>
      <c r="V253">
        <v>3</v>
      </c>
      <c r="W253" s="41" t="str">
        <f t="shared" ca="1" si="75"/>
        <v>OK</v>
      </c>
      <c r="X253" t="str">
        <f t="shared" ca="1" si="77"/>
        <v>コード番号を選択してください。</v>
      </c>
      <c r="Y253">
        <f t="shared" si="78"/>
        <v>1</v>
      </c>
      <c r="Z253">
        <f t="shared" si="51"/>
        <v>0</v>
      </c>
      <c r="AA253" t="str">
        <f>"コード番号を選択してください。"</f>
        <v>コード番号を選択してください。</v>
      </c>
      <c r="AB253" t="str">
        <f t="shared" si="76"/>
        <v>コード番号を選択してください。</v>
      </c>
      <c r="AC253" t="s">
        <v>179</v>
      </c>
      <c r="AD253" s="18"/>
      <c r="AE253" s="18"/>
      <c r="AF253" t="s">
        <v>180</v>
      </c>
      <c r="AH253">
        <f t="shared" si="80"/>
        <v>9999</v>
      </c>
      <c r="AI253">
        <f>SMALL($AH$187:$AH$276,67)</f>
        <v>9999</v>
      </c>
      <c r="AJ253" t="e">
        <f t="shared" si="81"/>
        <v>#N/A</v>
      </c>
      <c r="AK253" t="str">
        <f t="shared" si="82"/>
        <v>事業場99</v>
      </c>
    </row>
    <row r="254" spans="2:37" x14ac:dyDescent="0.2">
      <c r="B254" s="5">
        <v>23</v>
      </c>
      <c r="C254" s="5">
        <v>2</v>
      </c>
      <c r="D254" s="4">
        <v>2302</v>
      </c>
      <c r="E254" s="4">
        <f t="shared" ref="E254:E276" si="83">IF(AND(B348&lt;=$G$3),1,0)</f>
        <v>0</v>
      </c>
      <c r="F254" s="12">
        <f>'入力シート（2事業場以降）'!AQ251</f>
        <v>0</v>
      </c>
      <c r="G254" s="4" t="str">
        <f>IF(AND($E254=1,$F254=1),'入力シート（2事業場以降）'!F251,"")&amp;""</f>
        <v/>
      </c>
      <c r="H254" s="12" t="str">
        <f>IFERROR(VLOOKUP($G254,#REF!,3,FALSE),"")</f>
        <v/>
      </c>
      <c r="I254" s="12" t="str">
        <f>IFERROR(VLOOKUP($G254,#REF!,4,FALSE),"")</f>
        <v/>
      </c>
      <c r="J254" s="12" t="str">
        <f>IFERROR(VLOOKUP($G254,#REF!,5,FALSE),"")</f>
        <v/>
      </c>
      <c r="K254" s="12" t="str">
        <f>IFERROR(VLOOKUP($G254,#REF!,6,FALSE),"")</f>
        <v/>
      </c>
      <c r="L254" s="4" t="str">
        <f>IF(AND($E254=1,$F254=1),'入力シート（2事業場以降）'!J251,"")&amp;""</f>
        <v/>
      </c>
      <c r="M254" s="4" t="str">
        <f>IF(AND($E254=1,$F254=1),'入力シート（2事業場以降）'!N251,"")&amp;""</f>
        <v/>
      </c>
      <c r="N254" s="4" t="str">
        <f>IF(AND($E254=1,$F254=1),'入力シート（2事業場以降）'!R251,"")&amp;""</f>
        <v/>
      </c>
      <c r="O254" s="4" t="str">
        <f>IF(AND($E254=1,$F254=1),'入力シート（2事業場以降）'!V251,"")&amp;""</f>
        <v/>
      </c>
      <c r="P254" s="4" t="str">
        <f>IFERROR(VLOOKUP($G254,#REF!,10,FALSE),"")</f>
        <v/>
      </c>
      <c r="Q254" s="12" t="str">
        <f>IF(AND($E254=1,$F254=2),TRIM(CLEAN('入力シート（2事業場以降）'!#REF!)),"")&amp;""</f>
        <v/>
      </c>
      <c r="R254" s="12" t="str">
        <f>IF(AND($E254=1,$F254=2),TRIM(CLEAN('入力シート（2事業場以降）'!#REF!)),"")&amp;""</f>
        <v/>
      </c>
      <c r="S254" s="12" t="str">
        <f>IF(AND($E254=1,$F254=2),TRIM(CLEAN('入力シート（2事業場以降）'!#REF!)),"")&amp;""</f>
        <v/>
      </c>
      <c r="T254" s="12" t="str">
        <f>IF(AND($E254=1,$F254=2),TRIM(CLEAN('入力シート（2事業場以降）'!#REF!)),"")&amp;""</f>
        <v/>
      </c>
      <c r="U254" s="10" t="str">
        <f>IF(AND($E254=1,$F254=1),'入力シート（2事業場以降）'!H251,"")&amp;""</f>
        <v/>
      </c>
      <c r="W254" s="41" t="str">
        <f t="shared" ca="1" si="75"/>
        <v>OK</v>
      </c>
      <c r="X254" t="str">
        <f t="shared" ca="1" si="77"/>
        <v/>
      </c>
      <c r="Y254">
        <f t="shared" si="78"/>
        <v>1</v>
      </c>
      <c r="Z254">
        <f t="shared" ref="Z254:Z276" si="84">IF(AND(C254=3,OR(Y252&lt;&gt;0,Z252&lt;&gt;0)),1,IF(AND(1&lt;C254,OR(Y253&lt;&gt;0,Z253&lt;&gt;0)),2,IF(AND(F254&lt;&gt;2,G254&lt;&gt;"",L254=""),3,IF(AND(F254=2,0&lt;COUNTIF(Q254:T254,"")),-1,0))))</f>
        <v>2</v>
      </c>
      <c r="AA254" s="18"/>
      <c r="AB254" t="str">
        <f t="shared" si="76"/>
        <v>コード番号を選択してください。</v>
      </c>
      <c r="AC254" t="s">
        <v>179</v>
      </c>
      <c r="AD254" s="18"/>
      <c r="AE254" t="str">
        <f>C253&amp;"つ目の研修が入力されていません。"&amp;CHAR(10)&amp;"詰めて入力してください。"</f>
        <v>1つ目の研修が入力されていません。
詰めて入力してください。</v>
      </c>
      <c r="AF254" t="s">
        <v>180</v>
      </c>
      <c r="AH254">
        <f t="shared" si="80"/>
        <v>9999</v>
      </c>
      <c r="AI254">
        <f>SMALL($AH$187:$AH$276,68)</f>
        <v>9999</v>
      </c>
      <c r="AJ254" t="e">
        <f t="shared" si="81"/>
        <v>#N/A</v>
      </c>
      <c r="AK254" t="str">
        <f t="shared" si="82"/>
        <v>事業場99</v>
      </c>
    </row>
    <row r="255" spans="2:37" x14ac:dyDescent="0.2">
      <c r="B255" s="5">
        <v>23</v>
      </c>
      <c r="C255" s="5">
        <v>3</v>
      </c>
      <c r="D255" s="4">
        <v>2303</v>
      </c>
      <c r="E255" s="4">
        <f t="shared" si="83"/>
        <v>0</v>
      </c>
      <c r="F255" s="12">
        <f>'入力シート（2事業場以降）'!AQ253</f>
        <v>0</v>
      </c>
      <c r="G255" s="4" t="str">
        <f>IF(AND($E255=1,$F255=1),'入力シート（2事業場以降）'!F253,"")&amp;""</f>
        <v/>
      </c>
      <c r="H255" s="12" t="str">
        <f>IFERROR(VLOOKUP($G255,#REF!,3,FALSE),"")</f>
        <v/>
      </c>
      <c r="I255" s="12" t="str">
        <f>IFERROR(VLOOKUP($G255,#REF!,4,FALSE),"")</f>
        <v/>
      </c>
      <c r="J255" s="12" t="str">
        <f>IFERROR(VLOOKUP($G255,#REF!,5,FALSE),"")</f>
        <v/>
      </c>
      <c r="K255" s="12" t="str">
        <f>IFERROR(VLOOKUP($G255,#REF!,6,FALSE),"")</f>
        <v/>
      </c>
      <c r="L255" s="4" t="str">
        <f>IF(AND($E255=1,$F255=1),'入力シート（2事業場以降）'!J253,"")&amp;""</f>
        <v/>
      </c>
      <c r="M255" s="4" t="str">
        <f>IF(AND($E255=1,$F255=1),'入力シート（2事業場以降）'!N253,"")&amp;""</f>
        <v/>
      </c>
      <c r="N255" s="4" t="str">
        <f>IF(AND($E255=1,$F255=1),'入力シート（2事業場以降）'!R253,"")&amp;""</f>
        <v/>
      </c>
      <c r="O255" s="4" t="str">
        <f>IF(AND($E255=1,$F255=1),'入力シート（2事業場以降）'!V253,"")&amp;""</f>
        <v/>
      </c>
      <c r="P255" s="4" t="str">
        <f>IFERROR(VLOOKUP($G255,#REF!,10,FALSE),"")</f>
        <v/>
      </c>
      <c r="Q255" s="12" t="str">
        <f>IF(AND($E255=1,$F255=2),TRIM(CLEAN('入力シート（2事業場以降）'!#REF!)),"")&amp;""</f>
        <v/>
      </c>
      <c r="R255" s="12" t="str">
        <f>IF(AND($E255=1,$F255=2),TRIM(CLEAN('入力シート（2事業場以降）'!#REF!)),"")&amp;""</f>
        <v/>
      </c>
      <c r="S255" s="12" t="str">
        <f>IF(AND($E255=1,$F255=2),TRIM(CLEAN('入力シート（2事業場以降）'!#REF!)),"")&amp;""</f>
        <v/>
      </c>
      <c r="T255" s="12" t="str">
        <f>IF(AND($E255=1,$F255=2),TRIM(CLEAN('入力シート（2事業場以降）'!#REF!)),"")&amp;""</f>
        <v/>
      </c>
      <c r="U255" s="10" t="str">
        <f>IF(AND($E255=1,$F255=1),'入力シート（2事業場以降）'!H253,"")&amp;""</f>
        <v/>
      </c>
      <c r="W255" s="41" t="str">
        <f t="shared" ca="1" si="75"/>
        <v>OK</v>
      </c>
      <c r="X255" t="str">
        <f t="shared" ca="1" si="77"/>
        <v/>
      </c>
      <c r="Y255">
        <f t="shared" si="78"/>
        <v>1</v>
      </c>
      <c r="Z255">
        <f t="shared" si="84"/>
        <v>1</v>
      </c>
      <c r="AA255" s="18"/>
      <c r="AB255" t="str">
        <f t="shared" si="76"/>
        <v>コード番号を選択してください。</v>
      </c>
      <c r="AC255" t="s">
        <v>179</v>
      </c>
      <c r="AD255" t="str">
        <f t="shared" ref="AD255" si="85">AE254</f>
        <v>1つ目の研修が入力されていません。
詰めて入力してください。</v>
      </c>
      <c r="AE255" t="str">
        <f>C254&amp;"つ目の研修が入力されていません。"&amp;CHAR(10)&amp;"詰めて入力してください。"</f>
        <v>2つ目の研修が入力されていません。
詰めて入力してください。</v>
      </c>
      <c r="AF255" t="s">
        <v>180</v>
      </c>
      <c r="AH255">
        <f t="shared" si="80"/>
        <v>9999</v>
      </c>
      <c r="AI255">
        <f>SMALL($AH$187:$AH$276,69)</f>
        <v>9999</v>
      </c>
      <c r="AJ255" t="e">
        <f t="shared" si="81"/>
        <v>#N/A</v>
      </c>
      <c r="AK255" t="str">
        <f t="shared" si="82"/>
        <v>事業場99</v>
      </c>
    </row>
    <row r="256" spans="2:37" x14ac:dyDescent="0.2">
      <c r="B256" s="5">
        <v>24</v>
      </c>
      <c r="C256" s="5">
        <v>1</v>
      </c>
      <c r="D256" s="4">
        <v>2401</v>
      </c>
      <c r="E256" s="4">
        <f t="shared" si="83"/>
        <v>0</v>
      </c>
      <c r="F256" s="12">
        <f>'入力シート（2事業場以降）'!AQ256</f>
        <v>0</v>
      </c>
      <c r="G256" s="4" t="str">
        <f>IF(AND($E256=1,$F256=1),'入力シート（2事業場以降）'!F256,"")&amp;""</f>
        <v/>
      </c>
      <c r="H256" s="12" t="str">
        <f>IFERROR(VLOOKUP($G256,#REF!,3,FALSE),"")</f>
        <v/>
      </c>
      <c r="I256" s="12" t="str">
        <f>IFERROR(VLOOKUP($G256,#REF!,4,FALSE),"")</f>
        <v/>
      </c>
      <c r="J256" s="12" t="str">
        <f>IFERROR(VLOOKUP($G256,#REF!,5,FALSE),"")</f>
        <v/>
      </c>
      <c r="K256" s="12" t="str">
        <f>IFERROR(VLOOKUP($G256,#REF!,6,FALSE),"")</f>
        <v/>
      </c>
      <c r="L256" s="4" t="str">
        <f>IF(AND($E256=1,$F256=1),'入力シート（2事業場以降）'!J256,"")&amp;""</f>
        <v/>
      </c>
      <c r="M256" s="4" t="str">
        <f>IF(AND($E256=1,$F256=1),'入力シート（2事業場以降）'!N256,"")&amp;""</f>
        <v/>
      </c>
      <c r="N256" s="4" t="str">
        <f>IF(AND($E256=1,$F256=1),'入力シート（2事業場以降）'!R256,"")&amp;""</f>
        <v/>
      </c>
      <c r="O256" s="4" t="str">
        <f>IF(AND($E256=1,$F256=1),'入力シート（2事業場以降）'!V256,"")&amp;""</f>
        <v/>
      </c>
      <c r="P256" s="4" t="str">
        <f>IFERROR(VLOOKUP($G256,#REF!,10,FALSE),"")</f>
        <v/>
      </c>
      <c r="Q256" s="12" t="str">
        <f>IF(AND($E256=1,$F256=2),TRIM(CLEAN('入力シート（2事業場以降）'!#REF!)),"")&amp;""</f>
        <v/>
      </c>
      <c r="R256" s="12" t="str">
        <f>IF(AND($E256=1,$F256=2),TRIM(CLEAN('入力シート（2事業場以降）'!#REF!)),"")&amp;""</f>
        <v/>
      </c>
      <c r="S256" s="12" t="str">
        <f>IF(AND($E256=1,$F256=2),TRIM(CLEAN('入力シート（2事業場以降）'!#REF!)),"")&amp;""</f>
        <v/>
      </c>
      <c r="T256" s="12" t="str">
        <f>IF(AND($E256=1,$F256=2),TRIM(CLEAN('入力シート（2事業場以降）'!#REF!)),"")&amp;""</f>
        <v/>
      </c>
      <c r="U256" s="10" t="str">
        <f>IF(AND($E256=1,$F256=1),'入力シート（2事業場以降）'!H256,"")&amp;""</f>
        <v/>
      </c>
      <c r="V256">
        <v>4</v>
      </c>
      <c r="W256" s="41" t="str">
        <f t="shared" ca="1" si="75"/>
        <v>OK</v>
      </c>
      <c r="X256" t="str">
        <f t="shared" ca="1" si="77"/>
        <v>コード番号を選択してください。</v>
      </c>
      <c r="Y256">
        <f t="shared" si="78"/>
        <v>1</v>
      </c>
      <c r="Z256">
        <f t="shared" si="84"/>
        <v>0</v>
      </c>
      <c r="AA256" t="str">
        <f>"コード番号を選択してください。"</f>
        <v>コード番号を選択してください。</v>
      </c>
      <c r="AB256" t="str">
        <f t="shared" si="76"/>
        <v>コード番号を選択してください。</v>
      </c>
      <c r="AC256" t="s">
        <v>179</v>
      </c>
      <c r="AD256" s="18"/>
      <c r="AE256" s="18"/>
      <c r="AF256" t="s">
        <v>180</v>
      </c>
      <c r="AH256">
        <f t="shared" si="80"/>
        <v>9999</v>
      </c>
      <c r="AI256">
        <f>SMALL($AH$187:$AH$276,70)</f>
        <v>9999</v>
      </c>
      <c r="AJ256" t="e">
        <f t="shared" si="81"/>
        <v>#N/A</v>
      </c>
      <c r="AK256" t="str">
        <f t="shared" si="82"/>
        <v>事業場99</v>
      </c>
    </row>
    <row r="257" spans="2:37" x14ac:dyDescent="0.2">
      <c r="B257" s="5">
        <v>24</v>
      </c>
      <c r="C257" s="5">
        <v>2</v>
      </c>
      <c r="D257" s="4">
        <v>2402</v>
      </c>
      <c r="E257" s="4">
        <f t="shared" si="83"/>
        <v>0</v>
      </c>
      <c r="F257" s="12">
        <f>'入力シート（2事業場以降）'!AQ258</f>
        <v>0</v>
      </c>
      <c r="G257" s="4" t="str">
        <f>IF(AND($E257=1,$F257=1),'入力シート（2事業場以降）'!F258,"")&amp;""</f>
        <v/>
      </c>
      <c r="H257" s="12" t="str">
        <f>IFERROR(VLOOKUP($G257,#REF!,3,FALSE),"")</f>
        <v/>
      </c>
      <c r="I257" s="12" t="str">
        <f>IFERROR(VLOOKUP($G257,#REF!,4,FALSE),"")</f>
        <v/>
      </c>
      <c r="J257" s="12" t="str">
        <f>IFERROR(VLOOKUP($G257,#REF!,5,FALSE),"")</f>
        <v/>
      </c>
      <c r="K257" s="12" t="str">
        <f>IFERROR(VLOOKUP($G257,#REF!,6,FALSE),"")</f>
        <v/>
      </c>
      <c r="L257" s="4" t="str">
        <f>IF(AND($E257=1,$F257=1),'入力シート（2事業場以降）'!J258,"")&amp;""</f>
        <v/>
      </c>
      <c r="M257" s="4" t="str">
        <f>IF(AND($E257=1,$F257=1),'入力シート（2事業場以降）'!N258,"")&amp;""</f>
        <v/>
      </c>
      <c r="N257" s="4" t="str">
        <f>IF(AND($E257=1,$F257=1),'入力シート（2事業場以降）'!R258,"")&amp;""</f>
        <v/>
      </c>
      <c r="O257" s="4" t="str">
        <f>IF(AND($E257=1,$F257=1),'入力シート（2事業場以降）'!V258,"")&amp;""</f>
        <v/>
      </c>
      <c r="P257" s="4" t="str">
        <f>IFERROR(VLOOKUP($G257,#REF!,10,FALSE),"")</f>
        <v/>
      </c>
      <c r="Q257" s="12" t="str">
        <f>IF(AND($E257=1,$F257=2),TRIM(CLEAN('入力シート（2事業場以降）'!#REF!)),"")&amp;""</f>
        <v/>
      </c>
      <c r="R257" s="12" t="str">
        <f>IF(AND($E257=1,$F257=2),TRIM(CLEAN('入力シート（2事業場以降）'!#REF!)),"")&amp;""</f>
        <v/>
      </c>
      <c r="S257" s="12" t="str">
        <f>IF(AND($E257=1,$F257=2),TRIM(CLEAN('入力シート（2事業場以降）'!#REF!)),"")&amp;""</f>
        <v/>
      </c>
      <c r="T257" s="12" t="str">
        <f>IF(AND($E257=1,$F257=2),TRIM(CLEAN('入力シート（2事業場以降）'!#REF!)),"")&amp;""</f>
        <v/>
      </c>
      <c r="U257" s="10" t="str">
        <f>IF(AND($E257=1,$F257=1),'入力シート（2事業場以降）'!H258,"")&amp;""</f>
        <v/>
      </c>
      <c r="W257" s="41" t="str">
        <f t="shared" ca="1" si="75"/>
        <v>OK</v>
      </c>
      <c r="X257" t="str">
        <f t="shared" ca="1" si="77"/>
        <v/>
      </c>
      <c r="Y257">
        <f t="shared" si="78"/>
        <v>1</v>
      </c>
      <c r="Z257">
        <f t="shared" si="84"/>
        <v>2</v>
      </c>
      <c r="AA257" s="18"/>
      <c r="AB257" t="str">
        <f t="shared" si="76"/>
        <v>コード番号を選択してください。</v>
      </c>
      <c r="AC257" t="s">
        <v>179</v>
      </c>
      <c r="AD257" s="18"/>
      <c r="AE257" t="str">
        <f>C256&amp;"つ目の研修が入力されていません。"&amp;CHAR(10)&amp;"詰めて入力してください。"</f>
        <v>1つ目の研修が入力されていません。
詰めて入力してください。</v>
      </c>
      <c r="AF257" t="s">
        <v>180</v>
      </c>
      <c r="AH257">
        <f t="shared" si="80"/>
        <v>9999</v>
      </c>
      <c r="AI257">
        <f>SMALL($AH$187:$AH$276,71)</f>
        <v>9999</v>
      </c>
      <c r="AJ257" t="e">
        <f t="shared" si="81"/>
        <v>#N/A</v>
      </c>
      <c r="AK257" t="str">
        <f t="shared" si="82"/>
        <v>事業場99</v>
      </c>
    </row>
    <row r="258" spans="2:37" x14ac:dyDescent="0.2">
      <c r="B258" s="5">
        <v>24</v>
      </c>
      <c r="C258" s="5">
        <v>3</v>
      </c>
      <c r="D258" s="4">
        <v>2403</v>
      </c>
      <c r="E258" s="4">
        <f t="shared" si="83"/>
        <v>0</v>
      </c>
      <c r="F258" s="12">
        <f>'入力シート（2事業場以降）'!AQ260</f>
        <v>0</v>
      </c>
      <c r="G258" s="4" t="str">
        <f>IF(AND($E258=1,$F258=1),'入力シート（2事業場以降）'!F260,"")&amp;""</f>
        <v/>
      </c>
      <c r="H258" s="12" t="str">
        <f>IFERROR(VLOOKUP($G258,#REF!,3,FALSE),"")</f>
        <v/>
      </c>
      <c r="I258" s="12" t="str">
        <f>IFERROR(VLOOKUP($G258,#REF!,4,FALSE),"")</f>
        <v/>
      </c>
      <c r="J258" s="12" t="str">
        <f>IFERROR(VLOOKUP($G258,#REF!,5,FALSE),"")</f>
        <v/>
      </c>
      <c r="K258" s="12" t="str">
        <f>IFERROR(VLOOKUP($G258,#REF!,6,FALSE),"")</f>
        <v/>
      </c>
      <c r="L258" s="4" t="str">
        <f>IF(AND($E258=1,$F258=1),'入力シート（2事業場以降）'!J260,"")&amp;""</f>
        <v/>
      </c>
      <c r="M258" s="4" t="str">
        <f>IF(AND($E258=1,$F258=1),'入力シート（2事業場以降）'!N260,"")&amp;""</f>
        <v/>
      </c>
      <c r="N258" s="4" t="str">
        <f>IF(AND($E258=1,$F258=1),'入力シート（2事業場以降）'!R260,"")&amp;""</f>
        <v/>
      </c>
      <c r="O258" s="4" t="str">
        <f>IF(AND($E258=1,$F258=1),'入力シート（2事業場以降）'!V260,"")&amp;""</f>
        <v/>
      </c>
      <c r="P258" s="4" t="str">
        <f>IFERROR(VLOOKUP($G258,#REF!,10,FALSE),"")</f>
        <v/>
      </c>
      <c r="Q258" s="12" t="str">
        <f>IF(AND($E258=1,$F258=2),TRIM(CLEAN('入力シート（2事業場以降）'!#REF!)),"")&amp;""</f>
        <v/>
      </c>
      <c r="R258" s="12" t="str">
        <f>IF(AND($E258=1,$F258=2),TRIM(CLEAN('入力シート（2事業場以降）'!#REF!)),"")&amp;""</f>
        <v/>
      </c>
      <c r="S258" s="12" t="str">
        <f>IF(AND($E258=1,$F258=2),TRIM(CLEAN('入力シート（2事業場以降）'!#REF!)),"")&amp;""</f>
        <v/>
      </c>
      <c r="T258" s="12" t="str">
        <f>IF(AND($E258=1,$F258=2),TRIM(CLEAN('入力シート（2事業場以降）'!#REF!)),"")&amp;""</f>
        <v/>
      </c>
      <c r="U258" s="10" t="str">
        <f>IF(AND($E258=1,$F258=1),'入力シート（2事業場以降）'!H260,"")&amp;""</f>
        <v/>
      </c>
      <c r="W258" s="41" t="str">
        <f t="shared" ca="1" si="75"/>
        <v>OK</v>
      </c>
      <c r="X258" t="str">
        <f t="shared" ca="1" si="77"/>
        <v/>
      </c>
      <c r="Y258">
        <f t="shared" si="78"/>
        <v>1</v>
      </c>
      <c r="Z258">
        <f t="shared" si="84"/>
        <v>1</v>
      </c>
      <c r="AA258" s="18"/>
      <c r="AB258" t="str">
        <f t="shared" si="76"/>
        <v>コード番号を選択してください。</v>
      </c>
      <c r="AC258" t="s">
        <v>179</v>
      </c>
      <c r="AD258" t="str">
        <f t="shared" ref="AD258" si="86">AE257</f>
        <v>1つ目の研修が入力されていません。
詰めて入力してください。</v>
      </c>
      <c r="AE258" t="str">
        <f>C257&amp;"つ目の研修が入力されていません。"&amp;CHAR(10)&amp;"詰めて入力してください。"</f>
        <v>2つ目の研修が入力されていません。
詰めて入力してください。</v>
      </c>
      <c r="AF258" t="s">
        <v>180</v>
      </c>
      <c r="AH258">
        <f t="shared" si="80"/>
        <v>9999</v>
      </c>
      <c r="AI258">
        <f>SMALL($AH$187:$AH$276,72)</f>
        <v>9999</v>
      </c>
      <c r="AJ258" t="e">
        <f t="shared" si="81"/>
        <v>#N/A</v>
      </c>
      <c r="AK258" t="str">
        <f t="shared" si="82"/>
        <v>事業場99</v>
      </c>
    </row>
    <row r="259" spans="2:37" x14ac:dyDescent="0.2">
      <c r="B259" s="5">
        <v>25</v>
      </c>
      <c r="C259" s="5">
        <v>1</v>
      </c>
      <c r="D259" s="4">
        <v>2501</v>
      </c>
      <c r="E259" s="4">
        <f t="shared" si="83"/>
        <v>0</v>
      </c>
      <c r="F259" s="12">
        <f>'入力シート（2事業場以降）'!AQ263</f>
        <v>0</v>
      </c>
      <c r="G259" s="4" t="str">
        <f>IF(AND($E259=1,$F259=1),'入力シート（2事業場以降）'!F263,"")&amp;""</f>
        <v/>
      </c>
      <c r="H259" s="12" t="str">
        <f>IFERROR(VLOOKUP($G259,#REF!,3,FALSE),"")</f>
        <v/>
      </c>
      <c r="I259" s="12" t="str">
        <f>IFERROR(VLOOKUP($G259,#REF!,4,FALSE),"")</f>
        <v/>
      </c>
      <c r="J259" s="12" t="str">
        <f>IFERROR(VLOOKUP($G259,#REF!,5,FALSE),"")</f>
        <v/>
      </c>
      <c r="K259" s="12" t="str">
        <f>IFERROR(VLOOKUP($G259,#REF!,6,FALSE),"")</f>
        <v/>
      </c>
      <c r="L259" s="4" t="str">
        <f>IF(AND($E259=1,$F259=1),'入力シート（2事業場以降）'!J263,"")&amp;""</f>
        <v/>
      </c>
      <c r="M259" s="4" t="str">
        <f>IF(AND($E259=1,$F259=1),'入力シート（2事業場以降）'!N263,"")&amp;""</f>
        <v/>
      </c>
      <c r="N259" s="4" t="str">
        <f>IF(AND($E259=1,$F259=1),'入力シート（2事業場以降）'!R263,"")&amp;""</f>
        <v/>
      </c>
      <c r="O259" s="4" t="str">
        <f>IF(AND($E259=1,$F259=1),'入力シート（2事業場以降）'!V263,"")&amp;""</f>
        <v/>
      </c>
      <c r="P259" s="4" t="str">
        <f>IFERROR(VLOOKUP($G259,#REF!,10,FALSE),"")</f>
        <v/>
      </c>
      <c r="Q259" s="12" t="str">
        <f>IF(AND($E259=1,$F259=2),TRIM(CLEAN('入力シート（2事業場以降）'!#REF!)),"")&amp;""</f>
        <v/>
      </c>
      <c r="R259" s="12" t="str">
        <f>IF(AND($E259=1,$F259=2),TRIM(CLEAN('入力シート（2事業場以降）'!#REF!)),"")&amp;""</f>
        <v/>
      </c>
      <c r="S259" s="12" t="str">
        <f>IF(AND($E259=1,$F259=2),TRIM(CLEAN('入力シート（2事業場以降）'!#REF!)),"")&amp;""</f>
        <v/>
      </c>
      <c r="T259" s="12" t="str">
        <f>IF(AND($E259=1,$F259=2),TRIM(CLEAN('入力シート（2事業場以降）'!#REF!)),"")&amp;""</f>
        <v/>
      </c>
      <c r="U259" s="10" t="str">
        <f>IF(AND($E259=1,$F259=1),'入力シート（2事業場以降）'!H263,"")&amp;""</f>
        <v/>
      </c>
      <c r="V259">
        <v>5</v>
      </c>
      <c r="W259" s="41" t="str">
        <f t="shared" ca="1" si="75"/>
        <v>OK</v>
      </c>
      <c r="X259" t="str">
        <f t="shared" ca="1" si="77"/>
        <v>コード番号を選択してください。</v>
      </c>
      <c r="Y259">
        <f t="shared" si="78"/>
        <v>1</v>
      </c>
      <c r="Z259">
        <f t="shared" si="84"/>
        <v>0</v>
      </c>
      <c r="AA259" t="str">
        <f>"コード番号を選択してください。"</f>
        <v>コード番号を選択してください。</v>
      </c>
      <c r="AB259" t="str">
        <f t="shared" si="76"/>
        <v>コード番号を選択してください。</v>
      </c>
      <c r="AC259" t="s">
        <v>179</v>
      </c>
      <c r="AD259" s="18"/>
      <c r="AE259" s="18"/>
      <c r="AF259" t="s">
        <v>180</v>
      </c>
      <c r="AH259">
        <f t="shared" si="80"/>
        <v>9999</v>
      </c>
      <c r="AI259">
        <f>SMALL($AH$187:$AH$276,73)</f>
        <v>9999</v>
      </c>
      <c r="AJ259" t="e">
        <f t="shared" si="81"/>
        <v>#N/A</v>
      </c>
      <c r="AK259" t="str">
        <f t="shared" si="82"/>
        <v>事業場99</v>
      </c>
    </row>
    <row r="260" spans="2:37" x14ac:dyDescent="0.2">
      <c r="B260" s="5">
        <v>25</v>
      </c>
      <c r="C260" s="5">
        <v>2</v>
      </c>
      <c r="D260" s="4">
        <v>2502</v>
      </c>
      <c r="E260" s="4">
        <f t="shared" si="83"/>
        <v>0</v>
      </c>
      <c r="F260" s="12">
        <f>'入力シート（2事業場以降）'!AQ265</f>
        <v>0</v>
      </c>
      <c r="G260" s="4" t="str">
        <f>IF(AND($E260=1,$F260=1),'入力シート（2事業場以降）'!F265,"")&amp;""</f>
        <v/>
      </c>
      <c r="H260" s="12" t="str">
        <f>IFERROR(VLOOKUP($G260,#REF!,3,FALSE),"")</f>
        <v/>
      </c>
      <c r="I260" s="12" t="str">
        <f>IFERROR(VLOOKUP($G260,#REF!,4,FALSE),"")</f>
        <v/>
      </c>
      <c r="J260" s="12" t="str">
        <f>IFERROR(VLOOKUP($G260,#REF!,5,FALSE),"")</f>
        <v/>
      </c>
      <c r="K260" s="12" t="str">
        <f>IFERROR(VLOOKUP($G260,#REF!,6,FALSE),"")</f>
        <v/>
      </c>
      <c r="L260" s="4" t="str">
        <f>IF(AND($E260=1,$F260=1),'入力シート（2事業場以降）'!J265,"")&amp;""</f>
        <v/>
      </c>
      <c r="M260" s="4" t="str">
        <f>IF(AND($E260=1,$F260=1),'入力シート（2事業場以降）'!N265,"")&amp;""</f>
        <v/>
      </c>
      <c r="N260" s="4" t="str">
        <f>IF(AND($E260=1,$F260=1),'入力シート（2事業場以降）'!R265,"")&amp;""</f>
        <v/>
      </c>
      <c r="O260" s="4" t="str">
        <f>IF(AND($E260=1,$F260=1),'入力シート（2事業場以降）'!V265,"")&amp;""</f>
        <v/>
      </c>
      <c r="P260" s="4" t="str">
        <f>IFERROR(VLOOKUP($G260,#REF!,10,FALSE),"")</f>
        <v/>
      </c>
      <c r="Q260" s="12" t="str">
        <f>IF(AND($E260=1,$F260=2),TRIM(CLEAN('入力シート（2事業場以降）'!#REF!)),"")&amp;""</f>
        <v/>
      </c>
      <c r="R260" s="12" t="str">
        <f>IF(AND($E260=1,$F260=2),TRIM(CLEAN('入力シート（2事業場以降）'!#REF!)),"")&amp;""</f>
        <v/>
      </c>
      <c r="S260" s="12" t="str">
        <f>IF(AND($E260=1,$F260=2),TRIM(CLEAN('入力シート（2事業場以降）'!#REF!)),"")&amp;""</f>
        <v/>
      </c>
      <c r="T260" s="12" t="str">
        <f>IF(AND($E260=1,$F260=2),TRIM(CLEAN('入力シート（2事業場以降）'!#REF!)),"")&amp;""</f>
        <v/>
      </c>
      <c r="U260" s="10" t="str">
        <f>IF(AND($E260=1,$F260=1),'入力シート（2事業場以降）'!H265,"")&amp;""</f>
        <v/>
      </c>
      <c r="W260" s="41" t="str">
        <f t="shared" ca="1" si="75"/>
        <v>OK</v>
      </c>
      <c r="X260" t="str">
        <f t="shared" ca="1" si="77"/>
        <v/>
      </c>
      <c r="Y260">
        <f t="shared" si="78"/>
        <v>1</v>
      </c>
      <c r="Z260">
        <f t="shared" si="84"/>
        <v>2</v>
      </c>
      <c r="AA260" s="18"/>
      <c r="AB260" t="str">
        <f t="shared" si="76"/>
        <v>コード番号を選択してください。</v>
      </c>
      <c r="AC260" t="s">
        <v>179</v>
      </c>
      <c r="AD260" s="18"/>
      <c r="AE260" t="str">
        <f>C259&amp;"つ目の研修が入力されていません。"&amp;CHAR(10)&amp;"詰めて入力してください。"</f>
        <v>1つ目の研修が入力されていません。
詰めて入力してください。</v>
      </c>
      <c r="AF260" t="s">
        <v>180</v>
      </c>
      <c r="AH260">
        <f t="shared" si="80"/>
        <v>9999</v>
      </c>
      <c r="AI260">
        <f>SMALL($AH$187:$AH$276,74)</f>
        <v>9999</v>
      </c>
      <c r="AJ260" t="e">
        <f t="shared" si="81"/>
        <v>#N/A</v>
      </c>
      <c r="AK260" t="str">
        <f t="shared" si="82"/>
        <v>事業場99</v>
      </c>
    </row>
    <row r="261" spans="2:37" x14ac:dyDescent="0.2">
      <c r="B261" s="5">
        <v>25</v>
      </c>
      <c r="C261" s="5">
        <v>3</v>
      </c>
      <c r="D261" s="4">
        <v>2503</v>
      </c>
      <c r="E261" s="4">
        <f t="shared" si="83"/>
        <v>0</v>
      </c>
      <c r="F261" s="12">
        <f>'入力シート（2事業場以降）'!AQ267</f>
        <v>0</v>
      </c>
      <c r="G261" s="4" t="str">
        <f>IF(AND($E261=1,$F261=1),'入力シート（2事業場以降）'!F267,"")&amp;""</f>
        <v/>
      </c>
      <c r="H261" s="12" t="str">
        <f>IFERROR(VLOOKUP($G261,#REF!,3,FALSE),"")</f>
        <v/>
      </c>
      <c r="I261" s="12" t="str">
        <f>IFERROR(VLOOKUP($G261,#REF!,4,FALSE),"")</f>
        <v/>
      </c>
      <c r="J261" s="12" t="str">
        <f>IFERROR(VLOOKUP($G261,#REF!,5,FALSE),"")</f>
        <v/>
      </c>
      <c r="K261" s="12" t="str">
        <f>IFERROR(VLOOKUP($G261,#REF!,6,FALSE),"")</f>
        <v/>
      </c>
      <c r="L261" s="4" t="str">
        <f>IF(AND($E261=1,$F261=1),'入力シート（2事業場以降）'!J267,"")&amp;""</f>
        <v/>
      </c>
      <c r="M261" s="4" t="str">
        <f>IF(AND($E261=1,$F261=1),'入力シート（2事業場以降）'!N267,"")&amp;""</f>
        <v/>
      </c>
      <c r="N261" s="4" t="str">
        <f>IF(AND($E261=1,$F261=1),'入力シート（2事業場以降）'!R267,"")&amp;""</f>
        <v/>
      </c>
      <c r="O261" s="4" t="str">
        <f>IF(AND($E261=1,$F261=1),'入力シート（2事業場以降）'!V267,"")&amp;""</f>
        <v/>
      </c>
      <c r="P261" s="4" t="str">
        <f>IFERROR(VLOOKUP($G261,#REF!,10,FALSE),"")</f>
        <v/>
      </c>
      <c r="Q261" s="12" t="str">
        <f>IF(AND($E261=1,$F261=2),TRIM(CLEAN('入力シート（2事業場以降）'!#REF!)),"")&amp;""</f>
        <v/>
      </c>
      <c r="R261" s="12" t="str">
        <f>IF(AND($E261=1,$F261=2),TRIM(CLEAN('入力シート（2事業場以降）'!#REF!)),"")&amp;""</f>
        <v/>
      </c>
      <c r="S261" s="12" t="str">
        <f>IF(AND($E261=1,$F261=2),TRIM(CLEAN('入力シート（2事業場以降）'!#REF!)),"")&amp;""</f>
        <v/>
      </c>
      <c r="T261" s="12" t="str">
        <f>IF(AND($E261=1,$F261=2),TRIM(CLEAN('入力シート（2事業場以降）'!#REF!)),"")&amp;""</f>
        <v/>
      </c>
      <c r="U261" s="10" t="str">
        <f>IF(AND($E261=1,$F261=1),'入力シート（2事業場以降）'!H267,"")&amp;""</f>
        <v/>
      </c>
      <c r="W261" s="41" t="str">
        <f t="shared" ca="1" si="75"/>
        <v>OK</v>
      </c>
      <c r="X261" t="str">
        <f t="shared" ca="1" si="77"/>
        <v/>
      </c>
      <c r="Y261">
        <f t="shared" si="78"/>
        <v>1</v>
      </c>
      <c r="Z261">
        <f t="shared" si="84"/>
        <v>1</v>
      </c>
      <c r="AA261" s="18"/>
      <c r="AB261" t="str">
        <f t="shared" si="76"/>
        <v>コード番号を選択してください。</v>
      </c>
      <c r="AC261" t="s">
        <v>179</v>
      </c>
      <c r="AD261" t="str">
        <f t="shared" ref="AD261" si="87">AE260</f>
        <v>1つ目の研修が入力されていません。
詰めて入力してください。</v>
      </c>
      <c r="AE261" t="str">
        <f>C260&amp;"つ目の研修が入力されていません。"&amp;CHAR(10)&amp;"詰めて入力してください。"</f>
        <v>2つ目の研修が入力されていません。
詰めて入力してください。</v>
      </c>
      <c r="AF261" t="s">
        <v>180</v>
      </c>
      <c r="AH261">
        <f t="shared" si="80"/>
        <v>9999</v>
      </c>
      <c r="AI261">
        <f>SMALL($AH$187:$AH$276,75)</f>
        <v>9999</v>
      </c>
      <c r="AJ261" t="e">
        <f t="shared" si="81"/>
        <v>#N/A</v>
      </c>
      <c r="AK261" t="str">
        <f t="shared" si="82"/>
        <v>事業場99</v>
      </c>
    </row>
    <row r="262" spans="2:37" x14ac:dyDescent="0.2">
      <c r="B262" s="5">
        <v>26</v>
      </c>
      <c r="C262" s="5">
        <v>1</v>
      </c>
      <c r="D262" s="4">
        <v>2601</v>
      </c>
      <c r="E262" s="4">
        <f t="shared" si="83"/>
        <v>0</v>
      </c>
      <c r="F262" s="12">
        <f>'入力シート（2事業場以降）'!AQ270</f>
        <v>0</v>
      </c>
      <c r="G262" s="4" t="str">
        <f>IF(AND($E262=1,$F262=1),'入力シート（2事業場以降）'!F270,"")&amp;""</f>
        <v/>
      </c>
      <c r="H262" s="12" t="str">
        <f>IFERROR(VLOOKUP($G262,#REF!,3,FALSE),"")</f>
        <v/>
      </c>
      <c r="I262" s="12" t="str">
        <f>IFERROR(VLOOKUP($G262,#REF!,4,FALSE),"")</f>
        <v/>
      </c>
      <c r="J262" s="12" t="str">
        <f>IFERROR(VLOOKUP($G262,#REF!,5,FALSE),"")</f>
        <v/>
      </c>
      <c r="K262" s="12" t="str">
        <f>IFERROR(VLOOKUP($G262,#REF!,6,FALSE),"")</f>
        <v/>
      </c>
      <c r="L262" s="4" t="str">
        <f>IF(AND($E262=1,$F262=1),'入力シート（2事業場以降）'!J270,"")&amp;""</f>
        <v/>
      </c>
      <c r="M262" s="4" t="str">
        <f>IF(AND($E262=1,$F262=1),'入力シート（2事業場以降）'!N270,"")&amp;""</f>
        <v/>
      </c>
      <c r="N262" s="4" t="str">
        <f>IF(AND($E262=1,$F262=1),'入力シート（2事業場以降）'!R270,"")&amp;""</f>
        <v/>
      </c>
      <c r="O262" s="4" t="str">
        <f>IF(AND($E262=1,$F262=1),'入力シート（2事業場以降）'!V270,"")&amp;""</f>
        <v/>
      </c>
      <c r="P262" s="4" t="str">
        <f>IFERROR(VLOOKUP($G262,#REF!,10,FALSE),"")</f>
        <v/>
      </c>
      <c r="Q262" s="12" t="str">
        <f>IF(AND($E262=1,$F262=2),TRIM(CLEAN('入力シート（2事業場以降）'!#REF!)),"")&amp;""</f>
        <v/>
      </c>
      <c r="R262" s="12" t="str">
        <f>IF(AND($E262=1,$F262=2),TRIM(CLEAN('入力シート（2事業場以降）'!#REF!)),"")&amp;""</f>
        <v/>
      </c>
      <c r="S262" s="12" t="str">
        <f>IF(AND($E262=1,$F262=2),TRIM(CLEAN('入力シート（2事業場以降）'!#REF!)),"")&amp;""</f>
        <v/>
      </c>
      <c r="T262" s="12" t="str">
        <f>IF(AND($E262=1,$F262=2),TRIM(CLEAN('入力シート（2事業場以降）'!#REF!)),"")&amp;""</f>
        <v/>
      </c>
      <c r="U262" s="10" t="str">
        <f>IF(AND($E262=1,$F262=1),'入力シート（2事業場以降）'!H270,"")&amp;""</f>
        <v/>
      </c>
      <c r="V262">
        <v>6</v>
      </c>
      <c r="W262" s="41" t="str">
        <f t="shared" ca="1" si="75"/>
        <v>OK</v>
      </c>
      <c r="X262" t="str">
        <f t="shared" ca="1" si="77"/>
        <v>コード番号を選択してください。</v>
      </c>
      <c r="Y262">
        <f t="shared" si="78"/>
        <v>1</v>
      </c>
      <c r="Z262">
        <f t="shared" si="84"/>
        <v>0</v>
      </c>
      <c r="AA262" t="str">
        <f>"コード番号を選択してください。"</f>
        <v>コード番号を選択してください。</v>
      </c>
      <c r="AB262" t="str">
        <f t="shared" si="76"/>
        <v>コード番号を選択してください。</v>
      </c>
      <c r="AC262" t="s">
        <v>179</v>
      </c>
      <c r="AD262" s="18"/>
      <c r="AE262" s="18"/>
      <c r="AF262" t="s">
        <v>180</v>
      </c>
      <c r="AH262">
        <f t="shared" si="80"/>
        <v>9999</v>
      </c>
      <c r="AI262">
        <f>SMALL($AH$187:$AH$276,76)</f>
        <v>9999</v>
      </c>
      <c r="AJ262" t="e">
        <f t="shared" si="81"/>
        <v>#N/A</v>
      </c>
      <c r="AK262" t="str">
        <f t="shared" si="82"/>
        <v>事業場99</v>
      </c>
    </row>
    <row r="263" spans="2:37" x14ac:dyDescent="0.2">
      <c r="B263" s="5">
        <v>26</v>
      </c>
      <c r="C263" s="5">
        <v>2</v>
      </c>
      <c r="D263" s="4">
        <v>2602</v>
      </c>
      <c r="E263" s="4">
        <f t="shared" si="83"/>
        <v>0</v>
      </c>
      <c r="F263" s="12">
        <f>'入力シート（2事業場以降）'!AQ272</f>
        <v>0</v>
      </c>
      <c r="G263" s="4" t="str">
        <f>IF(AND($E263=1,$F263=1),'入力シート（2事業場以降）'!F272,"")&amp;""</f>
        <v/>
      </c>
      <c r="H263" s="12" t="str">
        <f>IFERROR(VLOOKUP($G263,#REF!,3,FALSE),"")</f>
        <v/>
      </c>
      <c r="I263" s="12" t="str">
        <f>IFERROR(VLOOKUP($G263,#REF!,4,FALSE),"")</f>
        <v/>
      </c>
      <c r="J263" s="12" t="str">
        <f>IFERROR(VLOOKUP($G263,#REF!,5,FALSE),"")</f>
        <v/>
      </c>
      <c r="K263" s="12" t="str">
        <f>IFERROR(VLOOKUP($G263,#REF!,6,FALSE),"")</f>
        <v/>
      </c>
      <c r="L263" s="4" t="str">
        <f>IF(AND($E263=1,$F263=1),'入力シート（2事業場以降）'!J272,"")&amp;""</f>
        <v/>
      </c>
      <c r="M263" s="4" t="str">
        <f>IF(AND($E263=1,$F263=1),'入力シート（2事業場以降）'!N272,"")&amp;""</f>
        <v/>
      </c>
      <c r="N263" s="4" t="str">
        <f>IF(AND($E263=1,$F263=1),'入力シート（2事業場以降）'!R272,"")&amp;""</f>
        <v/>
      </c>
      <c r="O263" s="4" t="str">
        <f>IF(AND($E263=1,$F263=1),'入力シート（2事業場以降）'!V272,"")&amp;""</f>
        <v/>
      </c>
      <c r="P263" s="4" t="str">
        <f>IFERROR(VLOOKUP($G263,#REF!,10,FALSE),"")</f>
        <v/>
      </c>
      <c r="Q263" s="12" t="str">
        <f>IF(AND($E263=1,$F263=2),TRIM(CLEAN('入力シート（2事業場以降）'!#REF!)),"")&amp;""</f>
        <v/>
      </c>
      <c r="R263" s="12" t="str">
        <f>IF(AND($E263=1,$F263=2),TRIM(CLEAN('入力シート（2事業場以降）'!#REF!)),"")&amp;""</f>
        <v/>
      </c>
      <c r="S263" s="12" t="str">
        <f>IF(AND($E263=1,$F263=2),TRIM(CLEAN('入力シート（2事業場以降）'!#REF!)),"")&amp;""</f>
        <v/>
      </c>
      <c r="T263" s="12" t="str">
        <f>IF(AND($E263=1,$F263=2),TRIM(CLEAN('入力シート（2事業場以降）'!#REF!)),"")&amp;""</f>
        <v/>
      </c>
      <c r="U263" s="10" t="str">
        <f>IF(AND($E263=1,$F263=1),'入力シート（2事業場以降）'!H272,"")&amp;""</f>
        <v/>
      </c>
      <c r="W263" s="41" t="str">
        <f t="shared" ca="1" si="75"/>
        <v>OK</v>
      </c>
      <c r="X263" t="str">
        <f t="shared" ca="1" si="77"/>
        <v/>
      </c>
      <c r="Y263">
        <f t="shared" si="78"/>
        <v>1</v>
      </c>
      <c r="Z263">
        <f t="shared" si="84"/>
        <v>2</v>
      </c>
      <c r="AA263" s="18"/>
      <c r="AB263" t="str">
        <f t="shared" si="76"/>
        <v>コード番号を選択してください。</v>
      </c>
      <c r="AC263" t="s">
        <v>179</v>
      </c>
      <c r="AD263" s="18"/>
      <c r="AE263" t="str">
        <f>C262&amp;"つ目の研修が入力されていません。"&amp;CHAR(10)&amp;"詰めて入力してください。"</f>
        <v>1つ目の研修が入力されていません。
詰めて入力してください。</v>
      </c>
      <c r="AF263" t="s">
        <v>180</v>
      </c>
      <c r="AH263">
        <f t="shared" si="80"/>
        <v>9999</v>
      </c>
      <c r="AI263">
        <f>SMALL($AH$187:$AH$276,77)</f>
        <v>9999</v>
      </c>
      <c r="AJ263" t="e">
        <f t="shared" si="81"/>
        <v>#N/A</v>
      </c>
      <c r="AK263" t="str">
        <f t="shared" si="82"/>
        <v>事業場99</v>
      </c>
    </row>
    <row r="264" spans="2:37" x14ac:dyDescent="0.2">
      <c r="B264" s="5">
        <v>26</v>
      </c>
      <c r="C264" s="5">
        <v>3</v>
      </c>
      <c r="D264" s="4">
        <v>2603</v>
      </c>
      <c r="E264" s="4">
        <f t="shared" si="83"/>
        <v>0</v>
      </c>
      <c r="F264" s="12">
        <f>'入力シート（2事業場以降）'!AQ274</f>
        <v>0</v>
      </c>
      <c r="G264" s="4" t="str">
        <f>IF(AND($E264=1,$F264=1),'入力シート（2事業場以降）'!F274,"")&amp;""</f>
        <v/>
      </c>
      <c r="H264" s="12" t="str">
        <f>IFERROR(VLOOKUP($G264,#REF!,3,FALSE),"")</f>
        <v/>
      </c>
      <c r="I264" s="12" t="str">
        <f>IFERROR(VLOOKUP($G264,#REF!,4,FALSE),"")</f>
        <v/>
      </c>
      <c r="J264" s="12" t="str">
        <f>IFERROR(VLOOKUP($G264,#REF!,5,FALSE),"")</f>
        <v/>
      </c>
      <c r="K264" s="12" t="str">
        <f>IFERROR(VLOOKUP($G264,#REF!,6,FALSE),"")</f>
        <v/>
      </c>
      <c r="L264" s="4" t="str">
        <f>IF(AND($E264=1,$F264=1),'入力シート（2事業場以降）'!J274,"")&amp;""</f>
        <v/>
      </c>
      <c r="M264" s="4" t="str">
        <f>IF(AND($E264=1,$F264=1),'入力シート（2事業場以降）'!N274,"")&amp;""</f>
        <v/>
      </c>
      <c r="N264" s="4" t="str">
        <f>IF(AND($E264=1,$F264=1),'入力シート（2事業場以降）'!R274,"")&amp;""</f>
        <v/>
      </c>
      <c r="O264" s="4" t="str">
        <f>IF(AND($E264=1,$F264=1),'入力シート（2事業場以降）'!V274,"")&amp;""</f>
        <v/>
      </c>
      <c r="P264" s="4" t="str">
        <f>IFERROR(VLOOKUP($G264,#REF!,10,FALSE),"")</f>
        <v/>
      </c>
      <c r="Q264" s="12" t="str">
        <f>IF(AND($E264=1,$F264=2),TRIM(CLEAN('入力シート（2事業場以降）'!#REF!)),"")&amp;""</f>
        <v/>
      </c>
      <c r="R264" s="12" t="str">
        <f>IF(AND($E264=1,$F264=2),TRIM(CLEAN('入力シート（2事業場以降）'!#REF!)),"")&amp;""</f>
        <v/>
      </c>
      <c r="S264" s="12" t="str">
        <f>IF(AND($E264=1,$F264=2),TRIM(CLEAN('入力シート（2事業場以降）'!#REF!)),"")&amp;""</f>
        <v/>
      </c>
      <c r="T264" s="12" t="str">
        <f>IF(AND($E264=1,$F264=2),TRIM(CLEAN('入力シート（2事業場以降）'!#REF!)),"")&amp;""</f>
        <v/>
      </c>
      <c r="U264" s="10" t="str">
        <f>IF(AND($E264=1,$F264=1),'入力シート（2事業場以降）'!H274,"")&amp;""</f>
        <v/>
      </c>
      <c r="W264" s="41" t="str">
        <f t="shared" ca="1" si="75"/>
        <v>OK</v>
      </c>
      <c r="X264" t="str">
        <f t="shared" ca="1" si="77"/>
        <v/>
      </c>
      <c r="Y264">
        <f t="shared" si="78"/>
        <v>1</v>
      </c>
      <c r="Z264">
        <f t="shared" si="84"/>
        <v>1</v>
      </c>
      <c r="AA264" s="18"/>
      <c r="AB264" t="str">
        <f t="shared" si="76"/>
        <v>コード番号を選択してください。</v>
      </c>
      <c r="AC264" t="s">
        <v>179</v>
      </c>
      <c r="AD264" t="str">
        <f t="shared" ref="AD264" si="88">AE263</f>
        <v>1つ目の研修が入力されていません。
詰めて入力してください。</v>
      </c>
      <c r="AE264" t="str">
        <f>C263&amp;"つ目の研修が入力されていません。"&amp;CHAR(10)&amp;"詰めて入力してください。"</f>
        <v>2つ目の研修が入力されていません。
詰めて入力してください。</v>
      </c>
      <c r="AF264" t="s">
        <v>180</v>
      </c>
      <c r="AH264">
        <f t="shared" si="80"/>
        <v>9999</v>
      </c>
      <c r="AI264">
        <f>SMALL($AH$187:$AH$276,78)</f>
        <v>9999</v>
      </c>
      <c r="AJ264" t="e">
        <f t="shared" si="81"/>
        <v>#N/A</v>
      </c>
      <c r="AK264" t="str">
        <f t="shared" si="82"/>
        <v>事業場99</v>
      </c>
    </row>
    <row r="265" spans="2:37" x14ac:dyDescent="0.2">
      <c r="B265" s="5">
        <v>27</v>
      </c>
      <c r="C265" s="5">
        <v>1</v>
      </c>
      <c r="D265" s="4">
        <v>2701</v>
      </c>
      <c r="E265" s="4">
        <f t="shared" si="83"/>
        <v>0</v>
      </c>
      <c r="F265" s="12">
        <f>'入力シート（2事業場以降）'!AQ277</f>
        <v>0</v>
      </c>
      <c r="G265" s="4" t="str">
        <f>IF(AND($E265=1,$F265=1),'入力シート（2事業場以降）'!F277,"")&amp;""</f>
        <v/>
      </c>
      <c r="H265" s="12" t="str">
        <f>IFERROR(VLOOKUP($G265,#REF!,3,FALSE),"")</f>
        <v/>
      </c>
      <c r="I265" s="12" t="str">
        <f>IFERROR(VLOOKUP($G265,#REF!,4,FALSE),"")</f>
        <v/>
      </c>
      <c r="J265" s="12" t="str">
        <f>IFERROR(VLOOKUP($G265,#REF!,5,FALSE),"")</f>
        <v/>
      </c>
      <c r="K265" s="12" t="str">
        <f>IFERROR(VLOOKUP($G265,#REF!,6,FALSE),"")</f>
        <v/>
      </c>
      <c r="L265" s="4" t="str">
        <f>IF(AND($E265=1,$F265=1),'入力シート（2事業場以降）'!J277,"")&amp;""</f>
        <v/>
      </c>
      <c r="M265" s="4" t="str">
        <f>IF(AND($E265=1,$F265=1),'入力シート（2事業場以降）'!N277,"")&amp;""</f>
        <v/>
      </c>
      <c r="N265" s="4" t="str">
        <f>IF(AND($E265=1,$F265=1),'入力シート（2事業場以降）'!R277,"")&amp;""</f>
        <v/>
      </c>
      <c r="O265" s="4" t="str">
        <f>IF(AND($E265=1,$F265=1),'入力シート（2事業場以降）'!V277,"")&amp;""</f>
        <v/>
      </c>
      <c r="P265" s="4" t="str">
        <f>IFERROR(VLOOKUP($G265,#REF!,10,FALSE),"")</f>
        <v/>
      </c>
      <c r="Q265" s="12" t="str">
        <f>IF(AND($E265=1,$F265=2),TRIM(CLEAN('入力シート（2事業場以降）'!#REF!)),"")&amp;""</f>
        <v/>
      </c>
      <c r="R265" s="12" t="str">
        <f>IF(AND($E265=1,$F265=2),TRIM(CLEAN('入力シート（2事業場以降）'!#REF!)),"")&amp;""</f>
        <v/>
      </c>
      <c r="S265" s="12" t="str">
        <f>IF(AND($E265=1,$F265=2),TRIM(CLEAN('入力シート（2事業場以降）'!#REF!)),"")&amp;""</f>
        <v/>
      </c>
      <c r="T265" s="12" t="str">
        <f>IF(AND($E265=1,$F265=2),TRIM(CLEAN('入力シート（2事業場以降）'!#REF!)),"")&amp;""</f>
        <v/>
      </c>
      <c r="U265" s="10" t="str">
        <f>IF(AND($E265=1,$F265=1),'入力シート（2事業場以降）'!H277,"")&amp;""</f>
        <v/>
      </c>
      <c r="V265">
        <v>7</v>
      </c>
      <c r="W265" s="41" t="str">
        <f t="shared" ca="1" si="75"/>
        <v>OK</v>
      </c>
      <c r="X265" t="str">
        <f t="shared" ca="1" si="77"/>
        <v>コード番号を選択してください。</v>
      </c>
      <c r="Y265">
        <f t="shared" si="78"/>
        <v>1</v>
      </c>
      <c r="Z265">
        <f t="shared" si="84"/>
        <v>0</v>
      </c>
      <c r="AA265" t="str">
        <f>"コード番号を選択してください。"</f>
        <v>コード番号を選択してください。</v>
      </c>
      <c r="AB265" t="str">
        <f t="shared" si="76"/>
        <v>コード番号を選択してください。</v>
      </c>
      <c r="AC265" t="s">
        <v>179</v>
      </c>
      <c r="AD265" s="18"/>
      <c r="AE265" s="18"/>
      <c r="AF265" t="s">
        <v>180</v>
      </c>
      <c r="AH265">
        <f t="shared" si="80"/>
        <v>9999</v>
      </c>
      <c r="AI265">
        <f>SMALL($AH$187:$AH$276,79)</f>
        <v>9999</v>
      </c>
      <c r="AJ265" t="e">
        <f t="shared" si="81"/>
        <v>#N/A</v>
      </c>
      <c r="AK265" t="str">
        <f t="shared" si="82"/>
        <v>事業場99</v>
      </c>
    </row>
    <row r="266" spans="2:37" x14ac:dyDescent="0.2">
      <c r="B266" s="5">
        <v>27</v>
      </c>
      <c r="C266" s="5">
        <v>2</v>
      </c>
      <c r="D266" s="4">
        <v>2702</v>
      </c>
      <c r="E266" s="4">
        <f t="shared" si="83"/>
        <v>0</v>
      </c>
      <c r="F266" s="12">
        <f>'入力シート（2事業場以降）'!AQ279</f>
        <v>0</v>
      </c>
      <c r="G266" s="4" t="str">
        <f>IF(AND($E266=1,$F266=1),'入力シート（2事業場以降）'!F279,"")&amp;""</f>
        <v/>
      </c>
      <c r="H266" s="12" t="str">
        <f>IFERROR(VLOOKUP($G266,#REF!,3,FALSE),"")</f>
        <v/>
      </c>
      <c r="I266" s="12" t="str">
        <f>IFERROR(VLOOKUP($G266,#REF!,4,FALSE),"")</f>
        <v/>
      </c>
      <c r="J266" s="12" t="str">
        <f>IFERROR(VLOOKUP($G266,#REF!,5,FALSE),"")</f>
        <v/>
      </c>
      <c r="K266" s="12" t="str">
        <f>IFERROR(VLOOKUP($G266,#REF!,6,FALSE),"")</f>
        <v/>
      </c>
      <c r="L266" s="4" t="str">
        <f>IF(AND($E266=1,$F266=1),'入力シート（2事業場以降）'!J279,"")&amp;""</f>
        <v/>
      </c>
      <c r="M266" s="4" t="str">
        <f>IF(AND($E266=1,$F266=1),'入力シート（2事業場以降）'!N279,"")&amp;""</f>
        <v/>
      </c>
      <c r="N266" s="4" t="str">
        <f>IF(AND($E266=1,$F266=1),'入力シート（2事業場以降）'!R279,"")&amp;""</f>
        <v/>
      </c>
      <c r="O266" s="4" t="str">
        <f>IF(AND($E266=1,$F266=1),'入力シート（2事業場以降）'!V279,"")&amp;""</f>
        <v/>
      </c>
      <c r="P266" s="4" t="str">
        <f>IFERROR(VLOOKUP($G266,#REF!,10,FALSE),"")</f>
        <v/>
      </c>
      <c r="Q266" s="12" t="str">
        <f>IF(AND($E266=1,$F266=2),TRIM(CLEAN('入力シート（2事業場以降）'!#REF!)),"")&amp;""</f>
        <v/>
      </c>
      <c r="R266" s="12" t="str">
        <f>IF(AND($E266=1,$F266=2),TRIM(CLEAN('入力シート（2事業場以降）'!#REF!)),"")&amp;""</f>
        <v/>
      </c>
      <c r="S266" s="12" t="str">
        <f>IF(AND($E266=1,$F266=2),TRIM(CLEAN('入力シート（2事業場以降）'!#REF!)),"")&amp;""</f>
        <v/>
      </c>
      <c r="T266" s="12" t="str">
        <f>IF(AND($E266=1,$F266=2),TRIM(CLEAN('入力シート（2事業場以降）'!#REF!)),"")&amp;""</f>
        <v/>
      </c>
      <c r="U266" s="10" t="str">
        <f>IF(AND($E266=1,$F266=1),'入力シート（2事業場以降）'!H279,"")&amp;""</f>
        <v/>
      </c>
      <c r="W266" s="41" t="str">
        <f t="shared" ca="1" si="75"/>
        <v>OK</v>
      </c>
      <c r="X266" t="str">
        <f t="shared" ca="1" si="77"/>
        <v/>
      </c>
      <c r="Y266">
        <f t="shared" si="78"/>
        <v>1</v>
      </c>
      <c r="Z266">
        <f t="shared" si="84"/>
        <v>2</v>
      </c>
      <c r="AA266" s="18"/>
      <c r="AB266" t="str">
        <f t="shared" si="76"/>
        <v>コード番号を選択してください。</v>
      </c>
      <c r="AC266" t="s">
        <v>179</v>
      </c>
      <c r="AD266" s="18"/>
      <c r="AE266" t="str">
        <f>C265&amp;"つ目の研修が入力されていません。"&amp;CHAR(10)&amp;"詰めて入力してください。"</f>
        <v>1つ目の研修が入力されていません。
詰めて入力してください。</v>
      </c>
      <c r="AF266" t="s">
        <v>180</v>
      </c>
      <c r="AH266">
        <f t="shared" si="80"/>
        <v>9999</v>
      </c>
      <c r="AI266">
        <f>SMALL($AH$187:$AH$276,80)</f>
        <v>9999</v>
      </c>
      <c r="AJ266" t="e">
        <f t="shared" si="81"/>
        <v>#N/A</v>
      </c>
      <c r="AK266" t="str">
        <f t="shared" si="82"/>
        <v>事業場99</v>
      </c>
    </row>
    <row r="267" spans="2:37" x14ac:dyDescent="0.2">
      <c r="B267" s="5">
        <v>27</v>
      </c>
      <c r="C267" s="5">
        <v>3</v>
      </c>
      <c r="D267" s="4">
        <v>2703</v>
      </c>
      <c r="E267" s="4">
        <f t="shared" si="83"/>
        <v>0</v>
      </c>
      <c r="F267" s="12">
        <f>'入力シート（2事業場以降）'!AQ281</f>
        <v>0</v>
      </c>
      <c r="G267" s="4" t="str">
        <f>IF(AND($E267=1,$F267=1),'入力シート（2事業場以降）'!F281,"")&amp;""</f>
        <v/>
      </c>
      <c r="H267" s="12" t="str">
        <f>IFERROR(VLOOKUP($G267,#REF!,3,FALSE),"")</f>
        <v/>
      </c>
      <c r="I267" s="12" t="str">
        <f>IFERROR(VLOOKUP($G267,#REF!,4,FALSE),"")</f>
        <v/>
      </c>
      <c r="J267" s="12" t="str">
        <f>IFERROR(VLOOKUP($G267,#REF!,5,FALSE),"")</f>
        <v/>
      </c>
      <c r="K267" s="12" t="str">
        <f>IFERROR(VLOOKUP($G267,#REF!,6,FALSE),"")</f>
        <v/>
      </c>
      <c r="L267" s="4" t="str">
        <f>IF(AND($E267=1,$F267=1),'入力シート（2事業場以降）'!J281,"")&amp;""</f>
        <v/>
      </c>
      <c r="M267" s="4" t="str">
        <f>IF(AND($E267=1,$F267=1),'入力シート（2事業場以降）'!N281,"")&amp;""</f>
        <v/>
      </c>
      <c r="N267" s="4" t="str">
        <f>IF(AND($E267=1,$F267=1),'入力シート（2事業場以降）'!R281,"")&amp;""</f>
        <v/>
      </c>
      <c r="O267" s="4" t="str">
        <f>IF(AND($E267=1,$F267=1),'入力シート（2事業場以降）'!V281,"")&amp;""</f>
        <v/>
      </c>
      <c r="P267" s="4" t="str">
        <f>IFERROR(VLOOKUP($G267,#REF!,10,FALSE),"")</f>
        <v/>
      </c>
      <c r="Q267" s="12" t="str">
        <f>IF(AND($E267=1,$F267=2),TRIM(CLEAN('入力シート（2事業場以降）'!#REF!)),"")&amp;""</f>
        <v/>
      </c>
      <c r="R267" s="12" t="str">
        <f>IF(AND($E267=1,$F267=2),TRIM(CLEAN('入力シート（2事業場以降）'!#REF!)),"")&amp;""</f>
        <v/>
      </c>
      <c r="S267" s="12" t="str">
        <f>IF(AND($E267=1,$F267=2),TRIM(CLEAN('入力シート（2事業場以降）'!#REF!)),"")&amp;""</f>
        <v/>
      </c>
      <c r="T267" s="12" t="str">
        <f>IF(AND($E267=1,$F267=2),TRIM(CLEAN('入力シート（2事業場以降）'!#REF!)),"")&amp;""</f>
        <v/>
      </c>
      <c r="U267" s="10" t="str">
        <f>IF(AND($E267=1,$F267=1),'入力シート（2事業場以降）'!H281,"")&amp;""</f>
        <v/>
      </c>
      <c r="W267" s="41" t="str">
        <f t="shared" ca="1" si="75"/>
        <v>OK</v>
      </c>
      <c r="X267" t="str">
        <f t="shared" ca="1" si="77"/>
        <v/>
      </c>
      <c r="Y267">
        <f t="shared" si="78"/>
        <v>1</v>
      </c>
      <c r="Z267">
        <f t="shared" si="84"/>
        <v>1</v>
      </c>
      <c r="AA267" s="18"/>
      <c r="AB267" t="str">
        <f t="shared" si="76"/>
        <v>コード番号を選択してください。</v>
      </c>
      <c r="AC267" t="s">
        <v>179</v>
      </c>
      <c r="AD267" t="str">
        <f t="shared" ref="AD267" si="89">AE266</f>
        <v>1つ目の研修が入力されていません。
詰めて入力してください。</v>
      </c>
      <c r="AE267" t="str">
        <f>C266&amp;"つ目の研修が入力されていません。"&amp;CHAR(10)&amp;"詰めて入力してください。"</f>
        <v>2つ目の研修が入力されていません。
詰めて入力してください。</v>
      </c>
      <c r="AF267" t="s">
        <v>180</v>
      </c>
      <c r="AH267">
        <f t="shared" si="80"/>
        <v>9999</v>
      </c>
      <c r="AI267">
        <f>SMALL($AH$187:$AH$276,81)</f>
        <v>9999</v>
      </c>
      <c r="AJ267" t="e">
        <f t="shared" si="81"/>
        <v>#N/A</v>
      </c>
      <c r="AK267" t="str">
        <f t="shared" si="82"/>
        <v>事業場99</v>
      </c>
    </row>
    <row r="268" spans="2:37" x14ac:dyDescent="0.2">
      <c r="B268" s="5">
        <v>28</v>
      </c>
      <c r="C268" s="5">
        <v>1</v>
      </c>
      <c r="D268" s="4">
        <v>2801</v>
      </c>
      <c r="E268" s="4">
        <f t="shared" si="83"/>
        <v>0</v>
      </c>
      <c r="F268" s="12">
        <f>'入力シート（2事業場以降）'!AQ284</f>
        <v>0</v>
      </c>
      <c r="G268" s="4" t="str">
        <f>IF(AND($E268=1,$F268=1),'入力シート（2事業場以降）'!F284,"")&amp;""</f>
        <v/>
      </c>
      <c r="H268" s="12" t="str">
        <f>IFERROR(VLOOKUP($G268,#REF!,3,FALSE),"")</f>
        <v/>
      </c>
      <c r="I268" s="12" t="str">
        <f>IFERROR(VLOOKUP($G268,#REF!,4,FALSE),"")</f>
        <v/>
      </c>
      <c r="J268" s="12" t="str">
        <f>IFERROR(VLOOKUP($G268,#REF!,5,FALSE),"")</f>
        <v/>
      </c>
      <c r="K268" s="12" t="str">
        <f>IFERROR(VLOOKUP($G268,#REF!,6,FALSE),"")</f>
        <v/>
      </c>
      <c r="L268" s="4" t="str">
        <f>IF(AND($E268=1,$F268=1),'入力シート（2事業場以降）'!J284,"")&amp;""</f>
        <v/>
      </c>
      <c r="M268" s="4" t="str">
        <f>IF(AND($E268=1,$F268=1),'入力シート（2事業場以降）'!N284,"")&amp;""</f>
        <v/>
      </c>
      <c r="N268" s="4" t="str">
        <f>IF(AND($E268=1,$F268=1),'入力シート（2事業場以降）'!R284,"")&amp;""</f>
        <v/>
      </c>
      <c r="O268" s="4" t="str">
        <f>IF(AND($E268=1,$F268=1),'入力シート（2事業場以降）'!V284,"")&amp;""</f>
        <v/>
      </c>
      <c r="P268" s="4" t="str">
        <f>IFERROR(VLOOKUP($G268,#REF!,10,FALSE),"")</f>
        <v/>
      </c>
      <c r="Q268" s="12" t="str">
        <f>IF(AND($E268=1,$F268=2),TRIM(CLEAN('入力シート（2事業場以降）'!#REF!)),"")&amp;""</f>
        <v/>
      </c>
      <c r="R268" s="12" t="str">
        <f>IF(AND($E268=1,$F268=2),TRIM(CLEAN('入力シート（2事業場以降）'!#REF!)),"")&amp;""</f>
        <v/>
      </c>
      <c r="S268" s="12" t="str">
        <f>IF(AND($E268=1,$F268=2),TRIM(CLEAN('入力シート（2事業場以降）'!#REF!)),"")&amp;""</f>
        <v/>
      </c>
      <c r="T268" s="12" t="str">
        <f>IF(AND($E268=1,$F268=2),TRIM(CLEAN('入力シート（2事業場以降）'!#REF!)),"")&amp;""</f>
        <v/>
      </c>
      <c r="U268" s="10" t="str">
        <f>IF(AND($E268=1,$F268=1),'入力シート（2事業場以降）'!H284,"")&amp;""</f>
        <v/>
      </c>
      <c r="V268">
        <v>8</v>
      </c>
      <c r="W268" s="41" t="str">
        <f t="shared" ca="1" si="75"/>
        <v>OK</v>
      </c>
      <c r="X268" t="str">
        <f t="shared" ca="1" si="77"/>
        <v>コード番号を選択してください。</v>
      </c>
      <c r="Y268">
        <f t="shared" si="78"/>
        <v>1</v>
      </c>
      <c r="Z268">
        <f t="shared" si="84"/>
        <v>0</v>
      </c>
      <c r="AA268" t="str">
        <f>"コード番号を選択してください。"</f>
        <v>コード番号を選択してください。</v>
      </c>
      <c r="AB268" t="str">
        <f t="shared" si="76"/>
        <v>コード番号を選択してください。</v>
      </c>
      <c r="AC268" t="s">
        <v>179</v>
      </c>
      <c r="AD268" s="18"/>
      <c r="AE268" s="18"/>
      <c r="AF268" t="s">
        <v>180</v>
      </c>
      <c r="AH268">
        <f t="shared" si="80"/>
        <v>9999</v>
      </c>
      <c r="AI268">
        <f>SMALL($AH$187:$AH$276,82)</f>
        <v>9999</v>
      </c>
      <c r="AJ268" t="e">
        <f t="shared" si="81"/>
        <v>#N/A</v>
      </c>
      <c r="AK268" t="str">
        <f t="shared" si="82"/>
        <v>事業場99</v>
      </c>
    </row>
    <row r="269" spans="2:37" x14ac:dyDescent="0.2">
      <c r="B269" s="5">
        <v>28</v>
      </c>
      <c r="C269" s="5">
        <v>2</v>
      </c>
      <c r="D269" s="4">
        <v>2802</v>
      </c>
      <c r="E269" s="4">
        <f t="shared" si="83"/>
        <v>0</v>
      </c>
      <c r="F269" s="12">
        <f>'入力シート（2事業場以降）'!AQ286</f>
        <v>0</v>
      </c>
      <c r="G269" s="4" t="str">
        <f>IF(AND($E269=1,$F269=1),'入力シート（2事業場以降）'!F286,"")&amp;""</f>
        <v/>
      </c>
      <c r="H269" s="12" t="str">
        <f>IFERROR(VLOOKUP($G269,#REF!,3,FALSE),"")</f>
        <v/>
      </c>
      <c r="I269" s="12" t="str">
        <f>IFERROR(VLOOKUP($G269,#REF!,4,FALSE),"")</f>
        <v/>
      </c>
      <c r="J269" s="12" t="str">
        <f>IFERROR(VLOOKUP($G269,#REF!,5,FALSE),"")</f>
        <v/>
      </c>
      <c r="K269" s="12" t="str">
        <f>IFERROR(VLOOKUP($G269,#REF!,6,FALSE),"")</f>
        <v/>
      </c>
      <c r="L269" s="4" t="str">
        <f>IF(AND($E269=1,$F269=1),'入力シート（2事業場以降）'!J286,"")&amp;""</f>
        <v/>
      </c>
      <c r="M269" s="4" t="str">
        <f>IF(AND($E269=1,$F269=1),'入力シート（2事業場以降）'!N286,"")&amp;""</f>
        <v/>
      </c>
      <c r="N269" s="4" t="str">
        <f>IF(AND($E269=1,$F269=1),'入力シート（2事業場以降）'!R286,"")&amp;""</f>
        <v/>
      </c>
      <c r="O269" s="4" t="str">
        <f>IF(AND($E269=1,$F269=1),'入力シート（2事業場以降）'!V286,"")&amp;""</f>
        <v/>
      </c>
      <c r="P269" s="4" t="str">
        <f>IFERROR(VLOOKUP($G269,#REF!,10,FALSE),"")</f>
        <v/>
      </c>
      <c r="Q269" s="12" t="str">
        <f>IF(AND($E269=1,$F269=2),TRIM(CLEAN('入力シート（2事業場以降）'!#REF!)),"")&amp;""</f>
        <v/>
      </c>
      <c r="R269" s="12" t="str">
        <f>IF(AND($E269=1,$F269=2),TRIM(CLEAN('入力シート（2事業場以降）'!#REF!)),"")&amp;""</f>
        <v/>
      </c>
      <c r="S269" s="12" t="str">
        <f>IF(AND($E269=1,$F269=2),TRIM(CLEAN('入力シート（2事業場以降）'!#REF!)),"")&amp;""</f>
        <v/>
      </c>
      <c r="T269" s="12" t="str">
        <f>IF(AND($E269=1,$F269=2),TRIM(CLEAN('入力シート（2事業場以降）'!#REF!)),"")&amp;""</f>
        <v/>
      </c>
      <c r="U269" s="10" t="str">
        <f>IF(AND($E269=1,$F269=1),'入力シート（2事業場以降）'!H286,"")&amp;""</f>
        <v/>
      </c>
      <c r="W269" s="41" t="str">
        <f t="shared" ca="1" si="75"/>
        <v>OK</v>
      </c>
      <c r="X269" t="str">
        <f t="shared" ca="1" si="77"/>
        <v/>
      </c>
      <c r="Y269">
        <f t="shared" si="78"/>
        <v>1</v>
      </c>
      <c r="Z269">
        <f t="shared" si="84"/>
        <v>2</v>
      </c>
      <c r="AA269" s="18"/>
      <c r="AB269" t="str">
        <f t="shared" si="76"/>
        <v>コード番号を選択してください。</v>
      </c>
      <c r="AC269" t="s">
        <v>179</v>
      </c>
      <c r="AD269" s="18"/>
      <c r="AE269" t="str">
        <f>C268&amp;"つ目の研修が入力されていません。"&amp;CHAR(10)&amp;"詰めて入力してください。"</f>
        <v>1つ目の研修が入力されていません。
詰めて入力してください。</v>
      </c>
      <c r="AF269" t="s">
        <v>180</v>
      </c>
      <c r="AH269">
        <f t="shared" si="80"/>
        <v>9999</v>
      </c>
      <c r="AI269">
        <f>SMALL($AH$187:$AH$276,83)</f>
        <v>9999</v>
      </c>
      <c r="AJ269" t="e">
        <f t="shared" si="81"/>
        <v>#N/A</v>
      </c>
      <c r="AK269" t="str">
        <f t="shared" si="82"/>
        <v>事業場99</v>
      </c>
    </row>
    <row r="270" spans="2:37" x14ac:dyDescent="0.2">
      <c r="B270" s="5">
        <v>28</v>
      </c>
      <c r="C270" s="5">
        <v>3</v>
      </c>
      <c r="D270" s="4">
        <v>2803</v>
      </c>
      <c r="E270" s="4">
        <f t="shared" si="83"/>
        <v>0</v>
      </c>
      <c r="F270" s="12">
        <f>'入力シート（2事業場以降）'!AQ288</f>
        <v>0</v>
      </c>
      <c r="G270" s="4" t="str">
        <f>IF(AND($E270=1,$F270=1),'入力シート（2事業場以降）'!F288,"")&amp;""</f>
        <v/>
      </c>
      <c r="H270" s="12" t="str">
        <f>IFERROR(VLOOKUP($G270,#REF!,3,FALSE),"")</f>
        <v/>
      </c>
      <c r="I270" s="12" t="str">
        <f>IFERROR(VLOOKUP($G270,#REF!,4,FALSE),"")</f>
        <v/>
      </c>
      <c r="J270" s="12" t="str">
        <f>IFERROR(VLOOKUP($G270,#REF!,5,FALSE),"")</f>
        <v/>
      </c>
      <c r="K270" s="12" t="str">
        <f>IFERROR(VLOOKUP($G270,#REF!,6,FALSE),"")</f>
        <v/>
      </c>
      <c r="L270" s="4" t="str">
        <f>IF(AND($E270=1,$F270=1),'入力シート（2事業場以降）'!J288,"")&amp;""</f>
        <v/>
      </c>
      <c r="M270" s="4" t="str">
        <f>IF(AND($E270=1,$F270=1),'入力シート（2事業場以降）'!N288,"")&amp;""</f>
        <v/>
      </c>
      <c r="N270" s="4" t="str">
        <f>IF(AND($E270=1,$F270=1),'入力シート（2事業場以降）'!R288,"")&amp;""</f>
        <v/>
      </c>
      <c r="O270" s="4" t="str">
        <f>IF(AND($E270=1,$F270=1),'入力シート（2事業場以降）'!V288,"")&amp;""</f>
        <v/>
      </c>
      <c r="P270" s="4" t="str">
        <f>IFERROR(VLOOKUP($G270,#REF!,10,FALSE),"")</f>
        <v/>
      </c>
      <c r="Q270" s="12" t="str">
        <f>IF(AND($E270=1,$F270=2),TRIM(CLEAN('入力シート（2事業場以降）'!#REF!)),"")&amp;""</f>
        <v/>
      </c>
      <c r="R270" s="12" t="str">
        <f>IF(AND($E270=1,$F270=2),TRIM(CLEAN('入力シート（2事業場以降）'!#REF!)),"")&amp;""</f>
        <v/>
      </c>
      <c r="S270" s="12" t="str">
        <f>IF(AND($E270=1,$F270=2),TRIM(CLEAN('入力シート（2事業場以降）'!#REF!)),"")&amp;""</f>
        <v/>
      </c>
      <c r="T270" s="12" t="str">
        <f>IF(AND($E270=1,$F270=2),TRIM(CLEAN('入力シート（2事業場以降）'!#REF!)),"")&amp;""</f>
        <v/>
      </c>
      <c r="U270" s="10" t="str">
        <f>IF(AND($E270=1,$F270=1),'入力シート（2事業場以降）'!H288,"")&amp;""</f>
        <v/>
      </c>
      <c r="W270" s="41" t="str">
        <f t="shared" ca="1" si="75"/>
        <v>OK</v>
      </c>
      <c r="X270" t="str">
        <f t="shared" ca="1" si="77"/>
        <v/>
      </c>
      <c r="Y270">
        <f t="shared" si="78"/>
        <v>1</v>
      </c>
      <c r="Z270">
        <f t="shared" si="84"/>
        <v>1</v>
      </c>
      <c r="AA270" s="18"/>
      <c r="AB270" t="str">
        <f t="shared" si="76"/>
        <v>コード番号を選択してください。</v>
      </c>
      <c r="AC270" t="s">
        <v>179</v>
      </c>
      <c r="AD270" t="str">
        <f t="shared" ref="AD270" si="90">AE269</f>
        <v>1つ目の研修が入力されていません。
詰めて入力してください。</v>
      </c>
      <c r="AE270" t="str">
        <f>C269&amp;"つ目の研修が入力されていません。"&amp;CHAR(10)&amp;"詰めて入力してください。"</f>
        <v>2つ目の研修が入力されていません。
詰めて入力してください。</v>
      </c>
      <c r="AF270" t="s">
        <v>180</v>
      </c>
      <c r="AH270">
        <f t="shared" si="80"/>
        <v>9999</v>
      </c>
      <c r="AI270">
        <f>SMALL($AH$187:$AH$276,84)</f>
        <v>9999</v>
      </c>
      <c r="AJ270" t="e">
        <f t="shared" si="81"/>
        <v>#N/A</v>
      </c>
      <c r="AK270" t="str">
        <f t="shared" si="82"/>
        <v>事業場99</v>
      </c>
    </row>
    <row r="271" spans="2:37" x14ac:dyDescent="0.2">
      <c r="B271" s="5">
        <v>29</v>
      </c>
      <c r="C271" s="5">
        <v>1</v>
      </c>
      <c r="D271" s="4">
        <v>2901</v>
      </c>
      <c r="E271" s="4">
        <f t="shared" si="83"/>
        <v>0</v>
      </c>
      <c r="F271" s="12">
        <f>'入力シート（2事業場以降）'!AQ291</f>
        <v>0</v>
      </c>
      <c r="G271" s="4" t="str">
        <f>IF(AND($E271=1,$F271=1),'入力シート（2事業場以降）'!F291,"")&amp;""</f>
        <v/>
      </c>
      <c r="H271" s="12" t="str">
        <f>IFERROR(VLOOKUP($G271,#REF!,3,FALSE),"")</f>
        <v/>
      </c>
      <c r="I271" s="12" t="str">
        <f>IFERROR(VLOOKUP($G271,#REF!,4,FALSE),"")</f>
        <v/>
      </c>
      <c r="J271" s="12" t="str">
        <f>IFERROR(VLOOKUP($G271,#REF!,5,FALSE),"")</f>
        <v/>
      </c>
      <c r="K271" s="12" t="str">
        <f>IFERROR(VLOOKUP($G271,#REF!,6,FALSE),"")</f>
        <v/>
      </c>
      <c r="L271" s="4" t="str">
        <f>IF(AND($E271=1,$F271=1),'入力シート（2事業場以降）'!J291,"")&amp;""</f>
        <v/>
      </c>
      <c r="M271" s="4" t="str">
        <f>IF(AND($E271=1,$F271=1),'入力シート（2事業場以降）'!N291,"")&amp;""</f>
        <v/>
      </c>
      <c r="N271" s="4" t="str">
        <f>IF(AND($E271=1,$F271=1),'入力シート（2事業場以降）'!R291,"")&amp;""</f>
        <v/>
      </c>
      <c r="O271" s="4" t="str">
        <f>IF(AND($E271=1,$F271=1),'入力シート（2事業場以降）'!V291,"")&amp;""</f>
        <v/>
      </c>
      <c r="P271" s="4" t="str">
        <f>IFERROR(VLOOKUP($G271,#REF!,10,FALSE),"")</f>
        <v/>
      </c>
      <c r="Q271" s="12" t="str">
        <f>IF(AND($E271=1,$F271=2),TRIM(CLEAN('入力シート（2事業場以降）'!#REF!)),"")&amp;""</f>
        <v/>
      </c>
      <c r="R271" s="12" t="str">
        <f>IF(AND($E271=1,$F271=2),TRIM(CLEAN('入力シート（2事業場以降）'!#REF!)),"")&amp;""</f>
        <v/>
      </c>
      <c r="S271" s="12" t="str">
        <f>IF(AND($E271=1,$F271=2),TRIM(CLEAN('入力シート（2事業場以降）'!#REF!)),"")&amp;""</f>
        <v/>
      </c>
      <c r="T271" s="12" t="str">
        <f>IF(AND($E271=1,$F271=2),TRIM(CLEAN('入力シート（2事業場以降）'!#REF!)),"")&amp;""</f>
        <v/>
      </c>
      <c r="U271" s="10" t="str">
        <f>IF(AND($E271=1,$F271=1),'入力シート（2事業場以降）'!H291,"")&amp;""</f>
        <v/>
      </c>
      <c r="V271">
        <v>9</v>
      </c>
      <c r="W271" s="41" t="str">
        <f t="shared" ca="1" si="75"/>
        <v>OK</v>
      </c>
      <c r="X271" t="str">
        <f t="shared" ca="1" si="77"/>
        <v>コード番号を選択してください。</v>
      </c>
      <c r="Y271">
        <f t="shared" si="78"/>
        <v>1</v>
      </c>
      <c r="Z271">
        <f t="shared" si="84"/>
        <v>0</v>
      </c>
      <c r="AA271" t="str">
        <f>"コード番号を選択してください。"</f>
        <v>コード番号を選択してください。</v>
      </c>
      <c r="AB271" t="str">
        <f t="shared" si="76"/>
        <v>コード番号を選択してください。</v>
      </c>
      <c r="AC271" t="s">
        <v>179</v>
      </c>
      <c r="AD271" s="18"/>
      <c r="AE271" s="18"/>
      <c r="AF271" t="s">
        <v>180</v>
      </c>
      <c r="AH271">
        <f t="shared" si="80"/>
        <v>9999</v>
      </c>
      <c r="AI271">
        <f>SMALL($AH$187:$AH$276,85)</f>
        <v>9999</v>
      </c>
      <c r="AJ271" t="e">
        <f t="shared" si="81"/>
        <v>#N/A</v>
      </c>
      <c r="AK271" t="str">
        <f t="shared" si="82"/>
        <v>事業場99</v>
      </c>
    </row>
    <row r="272" spans="2:37" x14ac:dyDescent="0.2">
      <c r="B272" s="5">
        <v>29</v>
      </c>
      <c r="C272" s="5">
        <v>2</v>
      </c>
      <c r="D272" s="4">
        <v>2902</v>
      </c>
      <c r="E272" s="4">
        <f t="shared" si="83"/>
        <v>0</v>
      </c>
      <c r="F272" s="12">
        <f>'入力シート（2事業場以降）'!AQ293</f>
        <v>0</v>
      </c>
      <c r="G272" s="4" t="str">
        <f>IF(AND($E272=1,$F272=1),'入力シート（2事業場以降）'!F293,"")&amp;""</f>
        <v/>
      </c>
      <c r="H272" s="12" t="str">
        <f>IFERROR(VLOOKUP($G272,#REF!,3,FALSE),"")</f>
        <v/>
      </c>
      <c r="I272" s="12" t="str">
        <f>IFERROR(VLOOKUP($G272,#REF!,4,FALSE),"")</f>
        <v/>
      </c>
      <c r="J272" s="12" t="str">
        <f>IFERROR(VLOOKUP($G272,#REF!,5,FALSE),"")</f>
        <v/>
      </c>
      <c r="K272" s="12" t="str">
        <f>IFERROR(VLOOKUP($G272,#REF!,6,FALSE),"")</f>
        <v/>
      </c>
      <c r="L272" s="4" t="str">
        <f>IF(AND($E272=1,$F272=1),'入力シート（2事業場以降）'!J293,"")&amp;""</f>
        <v/>
      </c>
      <c r="M272" s="4" t="str">
        <f>IF(AND($E272=1,$F272=1),'入力シート（2事業場以降）'!N293,"")&amp;""</f>
        <v/>
      </c>
      <c r="N272" s="4" t="str">
        <f>IF(AND($E272=1,$F272=1),'入力シート（2事業場以降）'!R293,"")&amp;""</f>
        <v/>
      </c>
      <c r="O272" s="4" t="str">
        <f>IF(AND($E272=1,$F272=1),'入力シート（2事業場以降）'!V293,"")&amp;""</f>
        <v/>
      </c>
      <c r="P272" s="4" t="str">
        <f>IFERROR(VLOOKUP($G272,#REF!,10,FALSE),"")</f>
        <v/>
      </c>
      <c r="Q272" s="12" t="str">
        <f>IF(AND($E272=1,$F272=2),TRIM(CLEAN('入力シート（2事業場以降）'!#REF!)),"")&amp;""</f>
        <v/>
      </c>
      <c r="R272" s="12" t="str">
        <f>IF(AND($E272=1,$F272=2),TRIM(CLEAN('入力シート（2事業場以降）'!#REF!)),"")&amp;""</f>
        <v/>
      </c>
      <c r="S272" s="12" t="str">
        <f>IF(AND($E272=1,$F272=2),TRIM(CLEAN('入力シート（2事業場以降）'!#REF!)),"")&amp;""</f>
        <v/>
      </c>
      <c r="T272" s="12" t="str">
        <f>IF(AND($E272=1,$F272=2),TRIM(CLEAN('入力シート（2事業場以降）'!#REF!)),"")&amp;""</f>
        <v/>
      </c>
      <c r="U272" s="10" t="str">
        <f>IF(AND($E272=1,$F272=1),'入力シート（2事業場以降）'!H293,"")&amp;""</f>
        <v/>
      </c>
      <c r="W272" s="41" t="str">
        <f t="shared" ca="1" si="75"/>
        <v>OK</v>
      </c>
      <c r="X272" t="str">
        <f t="shared" ca="1" si="77"/>
        <v/>
      </c>
      <c r="Y272">
        <f t="shared" si="78"/>
        <v>1</v>
      </c>
      <c r="Z272">
        <f t="shared" si="84"/>
        <v>2</v>
      </c>
      <c r="AA272" s="18"/>
      <c r="AB272" t="str">
        <f t="shared" si="76"/>
        <v>コード番号を選択してください。</v>
      </c>
      <c r="AC272" t="s">
        <v>179</v>
      </c>
      <c r="AD272" s="18"/>
      <c r="AE272" t="str">
        <f>C271&amp;"つ目の研修が入力されていません。"&amp;CHAR(10)&amp;"詰めて入力してください。"</f>
        <v>1つ目の研修が入力されていません。
詰めて入力してください。</v>
      </c>
      <c r="AF272" t="s">
        <v>180</v>
      </c>
      <c r="AH272">
        <f t="shared" si="80"/>
        <v>9999</v>
      </c>
      <c r="AI272">
        <f>SMALL($AH$187:$AH$276,86)</f>
        <v>9999</v>
      </c>
      <c r="AJ272" t="e">
        <f t="shared" si="81"/>
        <v>#N/A</v>
      </c>
      <c r="AK272" t="str">
        <f t="shared" si="82"/>
        <v>事業場99</v>
      </c>
    </row>
    <row r="273" spans="1:38" x14ac:dyDescent="0.2">
      <c r="B273" s="5">
        <v>29</v>
      </c>
      <c r="C273" s="5">
        <v>3</v>
      </c>
      <c r="D273" s="4">
        <v>2903</v>
      </c>
      <c r="E273" s="4">
        <f t="shared" si="83"/>
        <v>0</v>
      </c>
      <c r="F273" s="12">
        <f>'入力シート（2事業場以降）'!AQ295</f>
        <v>0</v>
      </c>
      <c r="G273" s="4" t="str">
        <f>IF(AND($E273=1,$F273=1),'入力シート（2事業場以降）'!F295,"")&amp;""</f>
        <v/>
      </c>
      <c r="H273" s="12" t="str">
        <f>IFERROR(VLOOKUP($G273,#REF!,3,FALSE),"")</f>
        <v/>
      </c>
      <c r="I273" s="12" t="str">
        <f>IFERROR(VLOOKUP($G273,#REF!,4,FALSE),"")</f>
        <v/>
      </c>
      <c r="J273" s="12" t="str">
        <f>IFERROR(VLOOKUP($G273,#REF!,5,FALSE),"")</f>
        <v/>
      </c>
      <c r="K273" s="12" t="str">
        <f>IFERROR(VLOOKUP($G273,#REF!,6,FALSE),"")</f>
        <v/>
      </c>
      <c r="L273" s="4" t="str">
        <f>IF(AND($E273=1,$F273=1),'入力シート（2事業場以降）'!J295,"")&amp;""</f>
        <v/>
      </c>
      <c r="M273" s="4" t="str">
        <f>IF(AND($E273=1,$F273=1),'入力シート（2事業場以降）'!N295,"")&amp;""</f>
        <v/>
      </c>
      <c r="N273" s="4" t="str">
        <f>IF(AND($E273=1,$F273=1),'入力シート（2事業場以降）'!R295,"")&amp;""</f>
        <v/>
      </c>
      <c r="O273" s="4" t="str">
        <f>IF(AND($E273=1,$F273=1),'入力シート（2事業場以降）'!V295,"")&amp;""</f>
        <v/>
      </c>
      <c r="P273" s="4" t="str">
        <f>IFERROR(VLOOKUP($G273,#REF!,10,FALSE),"")</f>
        <v/>
      </c>
      <c r="Q273" s="12" t="str">
        <f>IF(AND($E273=1,$F273=2),TRIM(CLEAN('入力シート（2事業場以降）'!#REF!)),"")&amp;""</f>
        <v/>
      </c>
      <c r="R273" s="12" t="str">
        <f>IF(AND($E273=1,$F273=2),TRIM(CLEAN('入力シート（2事業場以降）'!#REF!)),"")&amp;""</f>
        <v/>
      </c>
      <c r="S273" s="12" t="str">
        <f>IF(AND($E273=1,$F273=2),TRIM(CLEAN('入力シート（2事業場以降）'!#REF!)),"")&amp;""</f>
        <v/>
      </c>
      <c r="T273" s="12" t="str">
        <f>IF(AND($E273=1,$F273=2),TRIM(CLEAN('入力シート（2事業場以降）'!#REF!)),"")&amp;""</f>
        <v/>
      </c>
      <c r="U273" s="10" t="str">
        <f>IF(AND($E273=1,$F273=1),'入力シート（2事業場以降）'!H295,"")&amp;""</f>
        <v/>
      </c>
      <c r="W273" s="41" t="str">
        <f t="shared" ca="1" si="75"/>
        <v>OK</v>
      </c>
      <c r="X273" t="str">
        <f t="shared" ca="1" si="77"/>
        <v/>
      </c>
      <c r="Y273">
        <f t="shared" si="78"/>
        <v>1</v>
      </c>
      <c r="Z273">
        <f t="shared" si="84"/>
        <v>1</v>
      </c>
      <c r="AA273" s="18"/>
      <c r="AB273" t="str">
        <f t="shared" si="76"/>
        <v>コード番号を選択してください。</v>
      </c>
      <c r="AC273" t="s">
        <v>179</v>
      </c>
      <c r="AD273" t="str">
        <f t="shared" ref="AD273" si="91">AE272</f>
        <v>1つ目の研修が入力されていません。
詰めて入力してください。</v>
      </c>
      <c r="AE273" t="str">
        <f>C272&amp;"つ目の研修が入力されていません。"&amp;CHAR(10)&amp;"詰めて入力してください。"</f>
        <v>2つ目の研修が入力されていません。
詰めて入力してください。</v>
      </c>
      <c r="AF273" t="s">
        <v>180</v>
      </c>
      <c r="AH273">
        <f t="shared" si="80"/>
        <v>9999</v>
      </c>
      <c r="AI273">
        <f>SMALL($AH$187:$AH$276,87)</f>
        <v>9999</v>
      </c>
      <c r="AJ273" t="e">
        <f t="shared" si="81"/>
        <v>#N/A</v>
      </c>
      <c r="AK273" t="str">
        <f t="shared" si="82"/>
        <v>事業場99</v>
      </c>
    </row>
    <row r="274" spans="1:38" x14ac:dyDescent="0.2">
      <c r="B274" s="5">
        <v>30</v>
      </c>
      <c r="C274" s="5">
        <v>1</v>
      </c>
      <c r="D274" s="4">
        <v>3001</v>
      </c>
      <c r="E274" s="4">
        <f t="shared" si="83"/>
        <v>0</v>
      </c>
      <c r="F274" s="12">
        <f>'入力シート（2事業場以降）'!AQ298</f>
        <v>0</v>
      </c>
      <c r="G274" s="4" t="str">
        <f>IF(AND($E274=1,$F274=1),'入力シート（2事業場以降）'!F298,"")&amp;""</f>
        <v/>
      </c>
      <c r="H274" s="12" t="str">
        <f>IFERROR(VLOOKUP($G274,#REF!,3,FALSE),"")</f>
        <v/>
      </c>
      <c r="I274" s="12" t="str">
        <f>IFERROR(VLOOKUP($G274,#REF!,4,FALSE),"")</f>
        <v/>
      </c>
      <c r="J274" s="12" t="str">
        <f>IFERROR(VLOOKUP($G274,#REF!,5,FALSE),"")</f>
        <v/>
      </c>
      <c r="K274" s="12" t="str">
        <f>IFERROR(VLOOKUP($G274,#REF!,6,FALSE),"")</f>
        <v/>
      </c>
      <c r="L274" s="4" t="str">
        <f>IF(AND($E274=1,$F274=1),'入力シート（2事業場以降）'!J298,"")&amp;""</f>
        <v/>
      </c>
      <c r="M274" s="4" t="str">
        <f>IF(AND($E274=1,$F274=1),'入力シート（2事業場以降）'!N298,"")&amp;""</f>
        <v/>
      </c>
      <c r="N274" s="4" t="str">
        <f>IF(AND($E274=1,$F274=1),'入力シート（2事業場以降）'!R298,"")&amp;""</f>
        <v/>
      </c>
      <c r="O274" s="4" t="str">
        <f>IF(AND($E274=1,$F274=1),'入力シート（2事業場以降）'!V298,"")&amp;""</f>
        <v/>
      </c>
      <c r="P274" s="4" t="str">
        <f>IFERROR(VLOOKUP($G274,#REF!,10,FALSE),"")</f>
        <v/>
      </c>
      <c r="Q274" s="12" t="str">
        <f>IF(AND($E274=1,$F274=2),TRIM(CLEAN('入力シート（2事業場以降）'!#REF!)),"")&amp;""</f>
        <v/>
      </c>
      <c r="R274" s="12" t="str">
        <f>IF(AND($E274=1,$F274=2),TRIM(CLEAN('入力シート（2事業場以降）'!#REF!)),"")&amp;""</f>
        <v/>
      </c>
      <c r="S274" s="12" t="str">
        <f>IF(AND($E274=1,$F274=2),TRIM(CLEAN('入力シート（2事業場以降）'!#REF!)),"")&amp;""</f>
        <v/>
      </c>
      <c r="T274" s="12" t="str">
        <f>IF(AND($E274=1,$F274=2),TRIM(CLEAN('入力シート（2事業場以降）'!#REF!)),"")&amp;""</f>
        <v/>
      </c>
      <c r="U274" s="10" t="str">
        <f>IF(AND($E274=1,$F274=1),'入力シート（2事業場以降）'!H298,"")&amp;""</f>
        <v/>
      </c>
      <c r="V274">
        <v>10</v>
      </c>
      <c r="W274" s="41" t="str">
        <f t="shared" ca="1" si="75"/>
        <v>OK</v>
      </c>
      <c r="X274" t="str">
        <f t="shared" ca="1" si="77"/>
        <v>コード番号を選択してください。</v>
      </c>
      <c r="Y274">
        <f t="shared" si="78"/>
        <v>1</v>
      </c>
      <c r="Z274">
        <f t="shared" si="84"/>
        <v>0</v>
      </c>
      <c r="AA274" t="str">
        <f>"コード番号を選択してください。"</f>
        <v>コード番号を選択してください。</v>
      </c>
      <c r="AB274" t="str">
        <f t="shared" si="76"/>
        <v>コード番号を選択してください。</v>
      </c>
      <c r="AC274" t="s">
        <v>179</v>
      </c>
      <c r="AD274" s="18"/>
      <c r="AE274" s="18"/>
      <c r="AF274" t="s">
        <v>180</v>
      </c>
      <c r="AH274">
        <f t="shared" si="80"/>
        <v>9999</v>
      </c>
      <c r="AI274">
        <f>SMALL($AH$187:$AH$276,88)</f>
        <v>9999</v>
      </c>
      <c r="AJ274" t="e">
        <f t="shared" si="81"/>
        <v>#N/A</v>
      </c>
      <c r="AK274" t="str">
        <f t="shared" si="82"/>
        <v>事業場99</v>
      </c>
    </row>
    <row r="275" spans="1:38" x14ac:dyDescent="0.2">
      <c r="B275" s="5">
        <v>30</v>
      </c>
      <c r="C275" s="5">
        <v>2</v>
      </c>
      <c r="D275" s="4">
        <v>3002</v>
      </c>
      <c r="E275" s="4">
        <f t="shared" si="83"/>
        <v>0</v>
      </c>
      <c r="F275" s="12">
        <f>'入力シート（2事業場以降）'!AQ300</f>
        <v>0</v>
      </c>
      <c r="G275" s="4" t="str">
        <f>IF(AND($E275=1,$F275=1),'入力シート（2事業場以降）'!F300,"")&amp;""</f>
        <v/>
      </c>
      <c r="H275" s="12" t="str">
        <f>IFERROR(VLOOKUP($G275,#REF!,3,FALSE),"")</f>
        <v/>
      </c>
      <c r="I275" s="12" t="str">
        <f>IFERROR(VLOOKUP($G275,#REF!,4,FALSE),"")</f>
        <v/>
      </c>
      <c r="J275" s="12" t="str">
        <f>IFERROR(VLOOKUP($G275,#REF!,5,FALSE),"")</f>
        <v/>
      </c>
      <c r="K275" s="12" t="str">
        <f>IFERROR(VLOOKUP($G275,#REF!,6,FALSE),"")</f>
        <v/>
      </c>
      <c r="L275" s="4" t="str">
        <f>IF(AND($E275=1,$F275=1),'入力シート（2事業場以降）'!J300,"")&amp;""</f>
        <v/>
      </c>
      <c r="M275" s="4" t="str">
        <f>IF(AND($E275=1,$F275=1),'入力シート（2事業場以降）'!N300,"")&amp;""</f>
        <v/>
      </c>
      <c r="N275" s="4" t="str">
        <f>IF(AND($E275=1,$F275=1),'入力シート（2事業場以降）'!R300,"")&amp;""</f>
        <v/>
      </c>
      <c r="O275" s="4" t="str">
        <f>IF(AND($E275=1,$F275=1),'入力シート（2事業場以降）'!V300,"")&amp;""</f>
        <v/>
      </c>
      <c r="P275" s="4" t="str">
        <f>IFERROR(VLOOKUP($G275,#REF!,10,FALSE),"")</f>
        <v/>
      </c>
      <c r="Q275" s="12" t="str">
        <f>IF(AND($E275=1,$F275=2),TRIM(CLEAN('入力シート（2事業場以降）'!#REF!)),"")&amp;""</f>
        <v/>
      </c>
      <c r="R275" s="12" t="str">
        <f>IF(AND($E275=1,$F275=2),TRIM(CLEAN('入力シート（2事業場以降）'!#REF!)),"")&amp;""</f>
        <v/>
      </c>
      <c r="S275" s="12" t="str">
        <f>IF(AND($E275=1,$F275=2),TRIM(CLEAN('入力シート（2事業場以降）'!#REF!)),"")&amp;""</f>
        <v/>
      </c>
      <c r="T275" s="12" t="str">
        <f>IF(AND($E275=1,$F275=2),TRIM(CLEAN('入力シート（2事業場以降）'!#REF!)),"")&amp;""</f>
        <v/>
      </c>
      <c r="U275" s="10" t="str">
        <f>IF(AND($E275=1,$F275=1),'入力シート（2事業場以降）'!H300,"")&amp;""</f>
        <v/>
      </c>
      <c r="W275" s="41" t="str">
        <f t="shared" ca="1" si="75"/>
        <v>OK</v>
      </c>
      <c r="X275" t="str">
        <f t="shared" ca="1" si="77"/>
        <v/>
      </c>
      <c r="Y275">
        <f t="shared" si="78"/>
        <v>1</v>
      </c>
      <c r="Z275">
        <f t="shared" si="84"/>
        <v>2</v>
      </c>
      <c r="AA275" s="18"/>
      <c r="AB275" t="str">
        <f t="shared" si="76"/>
        <v>コード番号を選択してください。</v>
      </c>
      <c r="AC275" t="s">
        <v>179</v>
      </c>
      <c r="AD275" s="18"/>
      <c r="AE275" t="str">
        <f>C274&amp;"つ目の研修が入力されていません。"&amp;CHAR(10)&amp;"詰めて入力してください。"</f>
        <v>1つ目の研修が入力されていません。
詰めて入力してください。</v>
      </c>
      <c r="AF275" t="s">
        <v>180</v>
      </c>
      <c r="AH275">
        <f t="shared" si="80"/>
        <v>9999</v>
      </c>
      <c r="AI275">
        <f>SMALL($AH$187:$AH$276,89)</f>
        <v>9999</v>
      </c>
      <c r="AJ275" t="e">
        <f t="shared" si="81"/>
        <v>#N/A</v>
      </c>
      <c r="AK275" t="str">
        <f t="shared" si="82"/>
        <v>事業場99</v>
      </c>
    </row>
    <row r="276" spans="1:38" x14ac:dyDescent="0.2">
      <c r="B276" s="5">
        <v>30</v>
      </c>
      <c r="C276" s="5">
        <v>3</v>
      </c>
      <c r="D276" s="4">
        <v>3003</v>
      </c>
      <c r="E276" s="4">
        <f t="shared" si="83"/>
        <v>0</v>
      </c>
      <c r="F276" s="12">
        <f>'入力シート（2事業場以降）'!AQ302</f>
        <v>0</v>
      </c>
      <c r="G276" s="4" t="str">
        <f>IF(AND($E276=1,$F276=1),'入力シート（2事業場以降）'!F302,"")&amp;""</f>
        <v/>
      </c>
      <c r="H276" s="12" t="str">
        <f>IFERROR(VLOOKUP($G276,#REF!,3,FALSE),"")</f>
        <v/>
      </c>
      <c r="I276" s="12" t="str">
        <f>IFERROR(VLOOKUP($G276,#REF!,4,FALSE),"")</f>
        <v/>
      </c>
      <c r="J276" s="12" t="str">
        <f>IFERROR(VLOOKUP($G276,#REF!,5,FALSE),"")</f>
        <v/>
      </c>
      <c r="K276" s="12" t="str">
        <f>IFERROR(VLOOKUP($G276,#REF!,6,FALSE),"")</f>
        <v/>
      </c>
      <c r="L276" s="4" t="str">
        <f>IF(AND($E276=1,$F276=1),'入力シート（2事業場以降）'!J302,"")&amp;""</f>
        <v/>
      </c>
      <c r="M276" s="4" t="str">
        <f>IF(AND($E276=1,$F276=1),'入力シート（2事業場以降）'!N302,"")&amp;""</f>
        <v/>
      </c>
      <c r="N276" s="4" t="str">
        <f>IF(AND($E276=1,$F276=1),'入力シート（2事業場以降）'!R302,"")&amp;""</f>
        <v/>
      </c>
      <c r="O276" s="4" t="str">
        <f>IF(AND($E276=1,$F276=1),'入力シート（2事業場以降）'!V302,"")&amp;""</f>
        <v/>
      </c>
      <c r="P276" s="4" t="str">
        <f>IFERROR(VLOOKUP($G276,#REF!,10,FALSE),"")</f>
        <v/>
      </c>
      <c r="Q276" s="12" t="str">
        <f>IF(AND($E276=1,$F276=2),TRIM(CLEAN('入力シート（2事業場以降）'!#REF!)),"")&amp;""</f>
        <v/>
      </c>
      <c r="R276" s="12" t="str">
        <f>IF(AND($E276=1,$F276=2),TRIM(CLEAN('入力シート（2事業場以降）'!#REF!)),"")&amp;""</f>
        <v/>
      </c>
      <c r="S276" s="12" t="str">
        <f>IF(AND($E276=1,$F276=2),TRIM(CLEAN('入力シート（2事業場以降）'!#REF!)),"")&amp;""</f>
        <v/>
      </c>
      <c r="T276" s="12" t="str">
        <f>IF(AND($E276=1,$F276=2),TRIM(CLEAN('入力シート（2事業場以降）'!#REF!)),"")&amp;""</f>
        <v/>
      </c>
      <c r="U276" s="10" t="str">
        <f>IF(AND($E276=1,$F276=1),'入力シート（2事業場以降）'!H302,"")&amp;""</f>
        <v/>
      </c>
      <c r="W276" s="41" t="str">
        <f t="shared" ca="1" si="75"/>
        <v>OK</v>
      </c>
      <c r="X276" t="str">
        <f t="shared" ca="1" si="77"/>
        <v/>
      </c>
      <c r="Y276">
        <f t="shared" si="78"/>
        <v>1</v>
      </c>
      <c r="Z276">
        <f t="shared" si="84"/>
        <v>1</v>
      </c>
      <c r="AA276" s="18"/>
      <c r="AB276" t="str">
        <f t="shared" si="76"/>
        <v>コード番号を選択してください。</v>
      </c>
      <c r="AC276" t="s">
        <v>179</v>
      </c>
      <c r="AD276" t="str">
        <f t="shared" ref="AD276" si="92">AE275</f>
        <v>1つ目の研修が入力されていません。
詰めて入力してください。</v>
      </c>
      <c r="AE276" t="str">
        <f>C275&amp;"つ目の研修が入力されていません。"&amp;CHAR(10)&amp;"詰めて入力してください。"</f>
        <v>2つ目の研修が入力されていません。
詰めて入力してください。</v>
      </c>
      <c r="AF276" t="s">
        <v>180</v>
      </c>
      <c r="AH276">
        <f t="shared" si="80"/>
        <v>9999</v>
      </c>
      <c r="AI276">
        <f>SMALL($AH$187:$AH$276,90)</f>
        <v>9999</v>
      </c>
      <c r="AJ276" t="e">
        <f t="shared" si="81"/>
        <v>#N/A</v>
      </c>
      <c r="AK276" t="str">
        <f t="shared" si="82"/>
        <v>事業場99</v>
      </c>
    </row>
    <row r="277" spans="1:38" x14ac:dyDescent="0.2">
      <c r="W277" s="41"/>
    </row>
    <row r="278" spans="1:38" x14ac:dyDescent="0.2">
      <c r="W278" s="41"/>
    </row>
    <row r="279" spans="1:38" x14ac:dyDescent="0.2">
      <c r="B279" s="19" t="s">
        <v>181</v>
      </c>
      <c r="C279" s="8"/>
      <c r="D279" s="6" t="s">
        <v>160</v>
      </c>
      <c r="E279" s="7"/>
      <c r="F279" s="8"/>
      <c r="G279" s="6" t="s">
        <v>182</v>
      </c>
      <c r="H279" s="7"/>
      <c r="I279" s="8"/>
      <c r="J279" s="6" t="s">
        <v>183</v>
      </c>
      <c r="K279" s="7"/>
      <c r="L279" s="8"/>
      <c r="M279" s="54"/>
      <c r="N279" s="18" t="s">
        <v>160</v>
      </c>
      <c r="W279" s="41"/>
    </row>
    <row r="280" spans="1:38" s="3" customFormat="1" ht="39.6" x14ac:dyDescent="0.2">
      <c r="A280"/>
      <c r="B280" s="5" t="s">
        <v>157</v>
      </c>
      <c r="C280" s="5" t="s">
        <v>163</v>
      </c>
      <c r="D280" s="9" t="s">
        <v>156</v>
      </c>
      <c r="E280" s="9" t="s">
        <v>556</v>
      </c>
      <c r="F280" s="9" t="s">
        <v>184</v>
      </c>
      <c r="G280" s="9" t="s">
        <v>34</v>
      </c>
      <c r="H280" s="9" t="s">
        <v>185</v>
      </c>
      <c r="I280" s="9" t="s">
        <v>33</v>
      </c>
      <c r="J280" s="9" t="s">
        <v>34</v>
      </c>
      <c r="K280" s="9" t="s">
        <v>185</v>
      </c>
      <c r="L280" s="9" t="s">
        <v>33</v>
      </c>
      <c r="M280" s="55" t="s">
        <v>186</v>
      </c>
      <c r="N280" s="9" t="s">
        <v>284</v>
      </c>
      <c r="O280"/>
      <c r="P280"/>
      <c r="Q280"/>
      <c r="U280"/>
      <c r="V280"/>
      <c r="W280" s="31"/>
      <c r="X280" s="11" t="s">
        <v>150</v>
      </c>
      <c r="Y280" s="43" t="s">
        <v>143</v>
      </c>
      <c r="Z280" s="33" t="s">
        <v>144</v>
      </c>
      <c r="AA280" t="s">
        <v>172</v>
      </c>
      <c r="AB280" t="s">
        <v>173</v>
      </c>
      <c r="AC280" t="s">
        <v>174</v>
      </c>
      <c r="AD280" t="s">
        <v>187</v>
      </c>
      <c r="AE280" t="s">
        <v>188</v>
      </c>
      <c r="AF280" t="s">
        <v>151</v>
      </c>
      <c r="AL280"/>
    </row>
    <row r="281" spans="1:38" x14ac:dyDescent="0.2">
      <c r="B281" s="5">
        <v>1</v>
      </c>
      <c r="C281" s="5">
        <v>1</v>
      </c>
      <c r="D281" s="4">
        <v>1</v>
      </c>
      <c r="E281" s="4">
        <f t="shared" ref="E281:E312" si="93">IF(AND(D281=1,Y187=0,Z187=0),1,0)</f>
        <v>0</v>
      </c>
      <c r="F281" s="10">
        <f>入力シート!$Z72</f>
        <v>0</v>
      </c>
      <c r="G281" s="16">
        <f>入力シート!$J72</f>
        <v>0</v>
      </c>
      <c r="H281" s="17">
        <f>入力シート!$L72</f>
        <v>0</v>
      </c>
      <c r="I281" s="16">
        <f>入力シート!$N72</f>
        <v>0</v>
      </c>
      <c r="J281" s="14">
        <f>IF(E281=1,IF(F281=2,K281+L281,G281),0)</f>
        <v>0</v>
      </c>
      <c r="K281" s="14">
        <f>IF(N281=1,0,IF(E281=1,H281,0))</f>
        <v>0</v>
      </c>
      <c r="L281" s="14">
        <f>IF(N281=1,I281,IF(OR(P187="①",P187="②",E281=0),0,I281))</f>
        <v>0</v>
      </c>
      <c r="M281" s="56">
        <f t="shared" ref="M281:M312" si="94">IF(C281=1,SUM(K281:L283),M280)</f>
        <v>0</v>
      </c>
      <c r="N281" s="4">
        <f>IF(入力シート!Z58="④",1,0)</f>
        <v>0</v>
      </c>
      <c r="W281" s="41" t="str">
        <f t="shared" ref="W281:W312" ca="1" si="95">IF(OR(X281=$V$1,X281=""),$V$1,"NG")</f>
        <v>NG</v>
      </c>
      <c r="X281" t="str">
        <f ca="1">IF(Y281&lt;&gt;0,OFFSET(Z281,0,Y281),IF(Z281&lt;&gt;0,OFFSET(AE281,0,Z281),$V$1))&amp;""</f>
        <v>先に研修情報を入力してください。</v>
      </c>
      <c r="Y281">
        <f>IF(OR(E281=0,AND(B281=B280,E280=0)),1,IF(E281=1,IF(F281=0,2,IF(AND(F281=1,J281=0,K281=0),3,IF(AND(F281=1,J281=0),4,IF(AND(K281=0,N281=0),5,IF(AND(N281=1,L281=0),8,0)))))))</f>
        <v>1</v>
      </c>
      <c r="Z281">
        <f>IF(J281&lt;(K281+L281),1,IF(AND(E281=1,M281&lt;300),2,0))</f>
        <v>0</v>
      </c>
      <c r="AA281" t="s">
        <v>557</v>
      </c>
      <c r="AB281" t="s">
        <v>560</v>
      </c>
      <c r="AC281" t="s">
        <v>561</v>
      </c>
      <c r="AD281" t="s">
        <v>189</v>
      </c>
      <c r="AE281" t="s">
        <v>555</v>
      </c>
      <c r="AF281" t="str">
        <f t="shared" ref="AF281:AF283" si="96">$G$280&amp;"の金額を確認してください。"</f>
        <v>補助事業に要する経費の金額を確認してください。</v>
      </c>
      <c r="AG281" t="s">
        <v>554</v>
      </c>
      <c r="AH281" t="s">
        <v>285</v>
      </c>
    </row>
    <row r="282" spans="1:38" x14ac:dyDescent="0.2">
      <c r="B282" s="5">
        <v>1</v>
      </c>
      <c r="C282" s="5">
        <v>2</v>
      </c>
      <c r="D282" s="4">
        <f t="shared" ref="D282:D313" si="97">IF(B282&lt;=$G$3,1,0)</f>
        <v>0</v>
      </c>
      <c r="E282" s="4">
        <f t="shared" si="93"/>
        <v>0</v>
      </c>
      <c r="F282" s="10">
        <f>入力シート!$Z74</f>
        <v>0</v>
      </c>
      <c r="G282" s="16">
        <f>入力シート!$J74</f>
        <v>0</v>
      </c>
      <c r="H282" s="17">
        <f>入力シート!$L74</f>
        <v>0</v>
      </c>
      <c r="I282" s="16">
        <f>入力シート!$N74</f>
        <v>0</v>
      </c>
      <c r="J282" s="14">
        <f>IF(E282=1,IF(F282=2,K282+L282,G282),0)</f>
        <v>0</v>
      </c>
      <c r="K282" s="14">
        <f t="shared" ref="K282:K345" si="98">IF(N282=1,0,IF(E282=1,H282,0))</f>
        <v>0</v>
      </c>
      <c r="L282" s="14">
        <f t="shared" ref="L282:L345" si="99">IF(N282=1,I282,IF(OR(P188="①",P188="②",E282=0),0,I282))</f>
        <v>0</v>
      </c>
      <c r="M282" s="56">
        <f t="shared" si="94"/>
        <v>0</v>
      </c>
      <c r="N282" s="4">
        <f>IF(入力シート!Z60="④",1,0)</f>
        <v>0</v>
      </c>
      <c r="W282" s="41" t="str">
        <f t="shared" ca="1" si="95"/>
        <v>OK</v>
      </c>
      <c r="X282" t="str">
        <f t="shared" ref="X282:X345" ca="1" si="100">IF(Y282&lt;&gt;0,OFFSET(Z282,0,Y282),IF(Z282&lt;&gt;0,OFFSET(AE282,0,Z282),$V$1))&amp;""</f>
        <v/>
      </c>
      <c r="Y282">
        <f>IF(OR(E282=0,AND(B282=B281,E281=0)),1,IF(E282=1,IF(F282=0,2,IF(AND(F282=1,J282=0,K282=0),3,IF(AND(F282=1,J282=0),4,IF(AND(K282=0,N282=0),5,IF(AND(N282=1,L282=0),8,0)))))))</f>
        <v>1</v>
      </c>
      <c r="Z282">
        <f t="shared" ref="Z282:Z345" si="101">IF(J282&lt;(K282+L282),1,IF(AND(E282=1,M282&lt;300),2,0))</f>
        <v>0</v>
      </c>
      <c r="AA282" s="18"/>
      <c r="AB282" t="s">
        <v>560</v>
      </c>
      <c r="AC282" t="s">
        <v>561</v>
      </c>
      <c r="AD282" t="s">
        <v>189</v>
      </c>
      <c r="AE282" t="s">
        <v>555</v>
      </c>
      <c r="AF282" t="str">
        <f t="shared" si="96"/>
        <v>補助事業に要する経費の金額を確認してください。</v>
      </c>
      <c r="AG282" t="s">
        <v>554</v>
      </c>
      <c r="AH282" t="s">
        <v>285</v>
      </c>
    </row>
    <row r="283" spans="1:38" x14ac:dyDescent="0.2">
      <c r="B283" s="5">
        <v>1</v>
      </c>
      <c r="C283" s="5">
        <v>3</v>
      </c>
      <c r="D283" s="4">
        <f t="shared" si="97"/>
        <v>0</v>
      </c>
      <c r="E283" s="4">
        <f t="shared" si="93"/>
        <v>0</v>
      </c>
      <c r="F283" s="10">
        <f>入力シート!$Z76</f>
        <v>0</v>
      </c>
      <c r="G283" s="16">
        <f>入力シート!$J76</f>
        <v>0</v>
      </c>
      <c r="H283" s="17">
        <f>入力シート!$L76</f>
        <v>0</v>
      </c>
      <c r="I283" s="16">
        <f>入力シート!$N76</f>
        <v>0</v>
      </c>
      <c r="J283" s="14">
        <f t="shared" ref="J283" si="102">IF(E283=1,IF(F283=2,K283+L283,G283),0)</f>
        <v>0</v>
      </c>
      <c r="K283" s="14">
        <f t="shared" si="98"/>
        <v>0</v>
      </c>
      <c r="L283" s="14">
        <f t="shared" si="99"/>
        <v>0</v>
      </c>
      <c r="M283" s="56">
        <f t="shared" si="94"/>
        <v>0</v>
      </c>
      <c r="N283" s="4">
        <f>IF(入力シート!Z62="④",1,0)</f>
        <v>0</v>
      </c>
      <c r="W283" s="41" t="str">
        <f t="shared" ca="1" si="95"/>
        <v>OK</v>
      </c>
      <c r="X283" t="str">
        <f t="shared" ca="1" si="100"/>
        <v/>
      </c>
      <c r="Y283">
        <f>IF(OR(E283=0,AND(B283=B282,E282=0)),1,IF(E283=1,IF(F283=0,2,IF(AND(F283=1,J283=0,K283=0),3,IF(AND(F283=1,J283=0),4,IF(AND(K283=0,N283=0),5,IF(AND(N283=1,L283=0),8,0)))))))</f>
        <v>1</v>
      </c>
      <c r="Z283">
        <f t="shared" si="101"/>
        <v>0</v>
      </c>
      <c r="AA283" s="18"/>
      <c r="AB283" t="s">
        <v>560</v>
      </c>
      <c r="AC283" t="s">
        <v>561</v>
      </c>
      <c r="AD283" t="s">
        <v>189</v>
      </c>
      <c r="AE283" t="s">
        <v>555</v>
      </c>
      <c r="AF283" t="str">
        <f t="shared" si="96"/>
        <v>補助事業に要する経費の金額を確認してください。</v>
      </c>
      <c r="AG283" t="s">
        <v>554</v>
      </c>
      <c r="AH283" t="s">
        <v>285</v>
      </c>
    </row>
    <row r="284" spans="1:38" x14ac:dyDescent="0.2">
      <c r="B284" s="5">
        <v>2</v>
      </c>
      <c r="C284" s="5">
        <v>1</v>
      </c>
      <c r="D284" s="4">
        <f t="shared" si="97"/>
        <v>0</v>
      </c>
      <c r="E284" s="4">
        <f t="shared" si="93"/>
        <v>0</v>
      </c>
      <c r="F284" s="4">
        <f>'入力シート（2事業場以降）'!AR330</f>
        <v>0</v>
      </c>
      <c r="G284" s="42">
        <f>'入力シート（2事業場以降）'!J330</f>
        <v>0</v>
      </c>
      <c r="H284" s="42">
        <f>'入力シート（2事業場以降）'!L330</f>
        <v>0</v>
      </c>
      <c r="I284" s="42">
        <v>0</v>
      </c>
      <c r="J284" s="14">
        <f t="shared" ref="J284:J310" si="103">IF(E284=1,IF(F284=2,K284+L284,G284),0)</f>
        <v>0</v>
      </c>
      <c r="K284" s="14">
        <f t="shared" si="98"/>
        <v>0</v>
      </c>
      <c r="L284" s="14">
        <f t="shared" si="99"/>
        <v>0</v>
      </c>
      <c r="M284" s="56">
        <f t="shared" si="94"/>
        <v>0</v>
      </c>
      <c r="N284" s="4">
        <f>IF(AND(入力シート!$F$22&gt;=中間シート!B284,'入力シート（2事業場以降）'!AR102=1),1,0)</f>
        <v>0</v>
      </c>
      <c r="W284" s="41" t="str">
        <f t="shared" ca="1" si="95"/>
        <v>OK</v>
      </c>
      <c r="X284" t="str">
        <f t="shared" ca="1" si="100"/>
        <v>OK</v>
      </c>
      <c r="Y284">
        <f>IF(D284=1,IF(OR(E284=0,AND(B284=B283,E283=0)),1,IF(E284=1,IF(F284=0,2,IF(AND(F284=1,J284=0,K284=0),3,IF(AND(F284=1,J284=0),4,IF(AND(K284=0,N284=0),5,IF(AND(L284=0,N284=1),8,0))))))),0)</f>
        <v>0</v>
      </c>
      <c r="Z284">
        <f t="shared" si="101"/>
        <v>0</v>
      </c>
      <c r="AA284" t="s">
        <v>557</v>
      </c>
      <c r="AB284" t="s">
        <v>560</v>
      </c>
      <c r="AC284" t="s">
        <v>561</v>
      </c>
      <c r="AD284" t="s">
        <v>189</v>
      </c>
      <c r="AE284" t="s">
        <v>555</v>
      </c>
      <c r="AF284" t="s">
        <v>190</v>
      </c>
      <c r="AG284" t="s">
        <v>554</v>
      </c>
      <c r="AH284" t="s">
        <v>285</v>
      </c>
    </row>
    <row r="285" spans="1:38" x14ac:dyDescent="0.2">
      <c r="B285" s="5">
        <v>2</v>
      </c>
      <c r="C285" s="5">
        <v>2</v>
      </c>
      <c r="D285" s="4">
        <f t="shared" si="97"/>
        <v>0</v>
      </c>
      <c r="E285" s="4">
        <f t="shared" si="93"/>
        <v>0</v>
      </c>
      <c r="F285" s="4">
        <f>'入力シート（2事業場以降）'!AR332</f>
        <v>0</v>
      </c>
      <c r="G285" s="42">
        <f>'入力シート（2事業場以降）'!J332</f>
        <v>0</v>
      </c>
      <c r="H285" s="42">
        <f>'入力シート（2事業場以降）'!L332</f>
        <v>0</v>
      </c>
      <c r="I285" s="42">
        <v>0</v>
      </c>
      <c r="J285" s="14">
        <f t="shared" si="103"/>
        <v>0</v>
      </c>
      <c r="K285" s="14">
        <f t="shared" si="98"/>
        <v>0</v>
      </c>
      <c r="L285" s="14">
        <f t="shared" si="99"/>
        <v>0</v>
      </c>
      <c r="M285" s="56">
        <f t="shared" si="94"/>
        <v>0</v>
      </c>
      <c r="N285" s="4">
        <f>IF(AND(入力シート!$F$22&gt;=中間シート!B285,'入力シート（2事業場以降）'!AR104=1),1,0)</f>
        <v>0</v>
      </c>
      <c r="W285" s="41" t="str">
        <f t="shared" ca="1" si="95"/>
        <v>OK</v>
      </c>
      <c r="X285" t="str">
        <f t="shared" ca="1" si="100"/>
        <v>OK</v>
      </c>
      <c r="Y285">
        <f t="shared" ref="Y285:Y348" si="104">IF(D285=1,IF(OR(E285=0,AND(B285=B284,E284=0)),1,IF(E285=1,IF(F285=0,2,IF(AND(F285=1,J285=0,K285=0),3,IF(AND(F285=1,J285=0),4,IF(AND(K285=0,N285=0),5,IF(AND(L285=0,N285=1),8,0))))))),0)</f>
        <v>0</v>
      </c>
      <c r="Z285">
        <f t="shared" si="101"/>
        <v>0</v>
      </c>
      <c r="AA285" s="18"/>
      <c r="AB285" t="s">
        <v>560</v>
      </c>
      <c r="AC285" t="s">
        <v>561</v>
      </c>
      <c r="AD285" t="s">
        <v>189</v>
      </c>
      <c r="AE285" t="s">
        <v>555</v>
      </c>
      <c r="AF285" t="s">
        <v>190</v>
      </c>
      <c r="AG285" t="s">
        <v>554</v>
      </c>
      <c r="AH285" t="s">
        <v>285</v>
      </c>
    </row>
    <row r="286" spans="1:38" x14ac:dyDescent="0.2">
      <c r="B286" s="5">
        <v>2</v>
      </c>
      <c r="C286" s="5">
        <v>3</v>
      </c>
      <c r="D286" s="4">
        <f t="shared" si="97"/>
        <v>0</v>
      </c>
      <c r="E286" s="4">
        <f t="shared" si="93"/>
        <v>0</v>
      </c>
      <c r="F286" s="4">
        <f>'入力シート（2事業場以降）'!AR334</f>
        <v>0</v>
      </c>
      <c r="G286" s="42">
        <f>'入力シート（2事業場以降）'!J334</f>
        <v>0</v>
      </c>
      <c r="H286" s="42">
        <f>'入力シート（2事業場以降）'!L334</f>
        <v>0</v>
      </c>
      <c r="I286" s="42">
        <v>0</v>
      </c>
      <c r="J286" s="14">
        <f t="shared" si="103"/>
        <v>0</v>
      </c>
      <c r="K286" s="14">
        <f t="shared" si="98"/>
        <v>0</v>
      </c>
      <c r="L286" s="14">
        <f t="shared" si="99"/>
        <v>0</v>
      </c>
      <c r="M286" s="56">
        <f t="shared" si="94"/>
        <v>0</v>
      </c>
      <c r="N286" s="4">
        <f>IF(AND(入力シート!$F$22&gt;=中間シート!B286,'入力シート（2事業場以降）'!AR106=1),1,0)</f>
        <v>0</v>
      </c>
      <c r="W286" s="41" t="str">
        <f t="shared" ca="1" si="95"/>
        <v>OK</v>
      </c>
      <c r="X286" t="str">
        <f t="shared" ca="1" si="100"/>
        <v>OK</v>
      </c>
      <c r="Y286">
        <f t="shared" si="104"/>
        <v>0</v>
      </c>
      <c r="Z286">
        <f t="shared" si="101"/>
        <v>0</v>
      </c>
      <c r="AA286" s="18"/>
      <c r="AB286" t="s">
        <v>560</v>
      </c>
      <c r="AC286" t="s">
        <v>561</v>
      </c>
      <c r="AD286" t="s">
        <v>189</v>
      </c>
      <c r="AE286" t="s">
        <v>555</v>
      </c>
      <c r="AF286" t="s">
        <v>190</v>
      </c>
      <c r="AG286" t="s">
        <v>554</v>
      </c>
      <c r="AH286" t="s">
        <v>285</v>
      </c>
    </row>
    <row r="287" spans="1:38" x14ac:dyDescent="0.2">
      <c r="B287" s="5">
        <v>3</v>
      </c>
      <c r="C287" s="5">
        <v>1</v>
      </c>
      <c r="D287" s="4">
        <f t="shared" si="97"/>
        <v>0</v>
      </c>
      <c r="E287" s="4">
        <f t="shared" si="93"/>
        <v>0</v>
      </c>
      <c r="F287" s="4">
        <f>'入力シート（2事業場以降）'!AR337</f>
        <v>0</v>
      </c>
      <c r="G287" s="42">
        <f>'入力シート（2事業場以降）'!J337</f>
        <v>0</v>
      </c>
      <c r="H287" s="42">
        <f>'入力シート（2事業場以降）'!L337</f>
        <v>0</v>
      </c>
      <c r="I287" s="42">
        <v>0</v>
      </c>
      <c r="J287" s="14">
        <f t="shared" si="103"/>
        <v>0</v>
      </c>
      <c r="K287" s="14">
        <f t="shared" si="98"/>
        <v>0</v>
      </c>
      <c r="L287" s="14">
        <f t="shared" si="99"/>
        <v>0</v>
      </c>
      <c r="M287" s="56">
        <f t="shared" si="94"/>
        <v>0</v>
      </c>
      <c r="N287" s="4">
        <f>IF(AND(入力シート!$F$22&gt;=中間シート!B287,'入力シート（2事業場以降）'!AR109=1),1,0)</f>
        <v>0</v>
      </c>
      <c r="W287" s="41" t="str">
        <f t="shared" ca="1" si="95"/>
        <v>OK</v>
      </c>
      <c r="X287" t="str">
        <f t="shared" ca="1" si="100"/>
        <v>OK</v>
      </c>
      <c r="Y287">
        <f t="shared" si="104"/>
        <v>0</v>
      </c>
      <c r="Z287">
        <f t="shared" si="101"/>
        <v>0</v>
      </c>
      <c r="AA287" t="s">
        <v>557</v>
      </c>
      <c r="AB287" t="s">
        <v>560</v>
      </c>
      <c r="AC287" t="s">
        <v>561</v>
      </c>
      <c r="AD287" t="s">
        <v>189</v>
      </c>
      <c r="AE287" t="s">
        <v>555</v>
      </c>
      <c r="AF287" t="s">
        <v>190</v>
      </c>
      <c r="AG287" t="s">
        <v>554</v>
      </c>
      <c r="AH287" t="s">
        <v>285</v>
      </c>
    </row>
    <row r="288" spans="1:38" x14ac:dyDescent="0.2">
      <c r="B288" s="5">
        <v>3</v>
      </c>
      <c r="C288" s="5">
        <v>2</v>
      </c>
      <c r="D288" s="4">
        <f t="shared" si="97"/>
        <v>0</v>
      </c>
      <c r="E288" s="4">
        <f t="shared" si="93"/>
        <v>0</v>
      </c>
      <c r="F288" s="4">
        <f>'入力シート（2事業場以降）'!AR339</f>
        <v>0</v>
      </c>
      <c r="G288" s="42">
        <f>'入力シート（2事業場以降）'!J339</f>
        <v>0</v>
      </c>
      <c r="H288" s="42">
        <f>'入力シート（2事業場以降）'!L339</f>
        <v>0</v>
      </c>
      <c r="I288" s="42">
        <v>0</v>
      </c>
      <c r="J288" s="14">
        <f t="shared" si="103"/>
        <v>0</v>
      </c>
      <c r="K288" s="14">
        <f t="shared" si="98"/>
        <v>0</v>
      </c>
      <c r="L288" s="14">
        <f t="shared" si="99"/>
        <v>0</v>
      </c>
      <c r="M288" s="56">
        <f t="shared" si="94"/>
        <v>0</v>
      </c>
      <c r="N288" s="4">
        <f>IF(AND(入力シート!$F$22&gt;=中間シート!B288,'入力シート（2事業場以降）'!AR111=1),1,0)</f>
        <v>0</v>
      </c>
      <c r="W288" s="41" t="str">
        <f t="shared" ca="1" si="95"/>
        <v>OK</v>
      </c>
      <c r="X288" t="str">
        <f t="shared" ca="1" si="100"/>
        <v>OK</v>
      </c>
      <c r="Y288">
        <f t="shared" si="104"/>
        <v>0</v>
      </c>
      <c r="Z288">
        <f t="shared" si="101"/>
        <v>0</v>
      </c>
      <c r="AA288" s="18"/>
      <c r="AB288" t="s">
        <v>560</v>
      </c>
      <c r="AC288" t="s">
        <v>561</v>
      </c>
      <c r="AD288" t="s">
        <v>189</v>
      </c>
      <c r="AE288" t="s">
        <v>555</v>
      </c>
      <c r="AF288" t="s">
        <v>190</v>
      </c>
      <c r="AG288" t="s">
        <v>554</v>
      </c>
      <c r="AH288" t="s">
        <v>285</v>
      </c>
    </row>
    <row r="289" spans="2:34" x14ac:dyDescent="0.2">
      <c r="B289" s="5">
        <v>3</v>
      </c>
      <c r="C289" s="5">
        <v>3</v>
      </c>
      <c r="D289" s="4">
        <f t="shared" si="97"/>
        <v>0</v>
      </c>
      <c r="E289" s="4">
        <f t="shared" si="93"/>
        <v>0</v>
      </c>
      <c r="F289" s="4">
        <f>'入力シート（2事業場以降）'!AR341</f>
        <v>0</v>
      </c>
      <c r="G289" s="42">
        <f>'入力シート（2事業場以降）'!J341</f>
        <v>0</v>
      </c>
      <c r="H289" s="42">
        <f>'入力シート（2事業場以降）'!L341</f>
        <v>0</v>
      </c>
      <c r="I289" s="42">
        <v>0</v>
      </c>
      <c r="J289" s="14">
        <f t="shared" si="103"/>
        <v>0</v>
      </c>
      <c r="K289" s="14">
        <f t="shared" si="98"/>
        <v>0</v>
      </c>
      <c r="L289" s="14">
        <f t="shared" si="99"/>
        <v>0</v>
      </c>
      <c r="M289" s="56">
        <f t="shared" si="94"/>
        <v>0</v>
      </c>
      <c r="N289" s="4">
        <f>IF(AND(入力シート!$F$22&gt;=中間シート!B289,'入力シート（2事業場以降）'!AR113=1),1,0)</f>
        <v>0</v>
      </c>
      <c r="W289" s="41" t="str">
        <f t="shared" ca="1" si="95"/>
        <v>OK</v>
      </c>
      <c r="X289" t="str">
        <f t="shared" ca="1" si="100"/>
        <v>OK</v>
      </c>
      <c r="Y289">
        <f t="shared" si="104"/>
        <v>0</v>
      </c>
      <c r="Z289">
        <f t="shared" si="101"/>
        <v>0</v>
      </c>
      <c r="AA289" s="18"/>
      <c r="AB289" t="s">
        <v>560</v>
      </c>
      <c r="AC289" t="s">
        <v>561</v>
      </c>
      <c r="AD289" t="s">
        <v>189</v>
      </c>
      <c r="AE289" t="s">
        <v>555</v>
      </c>
      <c r="AF289" t="s">
        <v>190</v>
      </c>
      <c r="AG289" t="s">
        <v>554</v>
      </c>
      <c r="AH289" t="s">
        <v>285</v>
      </c>
    </row>
    <row r="290" spans="2:34" x14ac:dyDescent="0.2">
      <c r="B290" s="5">
        <v>4</v>
      </c>
      <c r="C290" s="5">
        <v>1</v>
      </c>
      <c r="D290" s="4">
        <f t="shared" si="97"/>
        <v>0</v>
      </c>
      <c r="E290" s="4">
        <f t="shared" si="93"/>
        <v>0</v>
      </c>
      <c r="F290" s="4">
        <f>'入力シート（2事業場以降）'!AR344</f>
        <v>0</v>
      </c>
      <c r="G290" s="42">
        <f>'入力シート（2事業場以降）'!J344</f>
        <v>0</v>
      </c>
      <c r="H290" s="42">
        <f>'入力シート（2事業場以降）'!L344</f>
        <v>0</v>
      </c>
      <c r="I290" s="42">
        <v>0</v>
      </c>
      <c r="J290" s="14">
        <f t="shared" si="103"/>
        <v>0</v>
      </c>
      <c r="K290" s="14">
        <f t="shared" si="98"/>
        <v>0</v>
      </c>
      <c r="L290" s="14">
        <f t="shared" si="99"/>
        <v>0</v>
      </c>
      <c r="M290" s="56">
        <f t="shared" si="94"/>
        <v>0</v>
      </c>
      <c r="N290" s="4">
        <f>IF(AND(入力シート!$F$22&gt;=中間シート!B290,'入力シート（2事業場以降）'!AR116=1),1,0)</f>
        <v>0</v>
      </c>
      <c r="W290" s="41" t="str">
        <f t="shared" ca="1" si="95"/>
        <v>OK</v>
      </c>
      <c r="X290" t="str">
        <f t="shared" ca="1" si="100"/>
        <v>OK</v>
      </c>
      <c r="Y290">
        <f t="shared" si="104"/>
        <v>0</v>
      </c>
      <c r="Z290">
        <f t="shared" si="101"/>
        <v>0</v>
      </c>
      <c r="AA290" t="s">
        <v>557</v>
      </c>
      <c r="AB290" t="s">
        <v>560</v>
      </c>
      <c r="AC290" t="s">
        <v>561</v>
      </c>
      <c r="AD290" t="s">
        <v>189</v>
      </c>
      <c r="AE290" t="s">
        <v>555</v>
      </c>
      <c r="AF290" t="s">
        <v>190</v>
      </c>
      <c r="AG290" t="s">
        <v>554</v>
      </c>
      <c r="AH290" t="s">
        <v>285</v>
      </c>
    </row>
    <row r="291" spans="2:34" x14ac:dyDescent="0.2">
      <c r="B291" s="5">
        <v>4</v>
      </c>
      <c r="C291" s="5">
        <v>2</v>
      </c>
      <c r="D291" s="4">
        <f t="shared" si="97"/>
        <v>0</v>
      </c>
      <c r="E291" s="4">
        <f t="shared" si="93"/>
        <v>0</v>
      </c>
      <c r="F291" s="4">
        <f>'入力シート（2事業場以降）'!AR346</f>
        <v>0</v>
      </c>
      <c r="G291" s="42">
        <f>'入力シート（2事業場以降）'!J346</f>
        <v>0</v>
      </c>
      <c r="H291" s="42">
        <f>'入力シート（2事業場以降）'!L346</f>
        <v>0</v>
      </c>
      <c r="I291" s="42">
        <v>0</v>
      </c>
      <c r="J291" s="14">
        <f t="shared" si="103"/>
        <v>0</v>
      </c>
      <c r="K291" s="14">
        <f t="shared" si="98"/>
        <v>0</v>
      </c>
      <c r="L291" s="14">
        <f t="shared" si="99"/>
        <v>0</v>
      </c>
      <c r="M291" s="56">
        <f t="shared" si="94"/>
        <v>0</v>
      </c>
      <c r="N291" s="4">
        <f>IF(AND(入力シート!$F$22&gt;=中間シート!B291,'入力シート（2事業場以降）'!AR118=1),1,0)</f>
        <v>0</v>
      </c>
      <c r="W291" s="41" t="str">
        <f t="shared" ca="1" si="95"/>
        <v>OK</v>
      </c>
      <c r="X291" t="str">
        <f t="shared" ca="1" si="100"/>
        <v>OK</v>
      </c>
      <c r="Y291">
        <f t="shared" si="104"/>
        <v>0</v>
      </c>
      <c r="Z291">
        <f t="shared" si="101"/>
        <v>0</v>
      </c>
      <c r="AA291" s="18"/>
      <c r="AB291" t="s">
        <v>560</v>
      </c>
      <c r="AC291" t="s">
        <v>561</v>
      </c>
      <c r="AD291" t="s">
        <v>189</v>
      </c>
      <c r="AE291" t="s">
        <v>555</v>
      </c>
      <c r="AF291" t="s">
        <v>190</v>
      </c>
      <c r="AG291" t="s">
        <v>554</v>
      </c>
      <c r="AH291" t="s">
        <v>285</v>
      </c>
    </row>
    <row r="292" spans="2:34" x14ac:dyDescent="0.2">
      <c r="B292" s="5">
        <v>4</v>
      </c>
      <c r="C292" s="5">
        <v>3</v>
      </c>
      <c r="D292" s="4">
        <f t="shared" si="97"/>
        <v>0</v>
      </c>
      <c r="E292" s="4">
        <f t="shared" si="93"/>
        <v>0</v>
      </c>
      <c r="F292" s="4">
        <f>'入力シート（2事業場以降）'!AR348</f>
        <v>0</v>
      </c>
      <c r="G292" s="42">
        <f>'入力シート（2事業場以降）'!J348</f>
        <v>0</v>
      </c>
      <c r="H292" s="42">
        <f>'入力シート（2事業場以降）'!L348</f>
        <v>0</v>
      </c>
      <c r="I292" s="42">
        <v>0</v>
      </c>
      <c r="J292" s="14">
        <f t="shared" si="103"/>
        <v>0</v>
      </c>
      <c r="K292" s="14">
        <f t="shared" si="98"/>
        <v>0</v>
      </c>
      <c r="L292" s="14">
        <f t="shared" si="99"/>
        <v>0</v>
      </c>
      <c r="M292" s="56">
        <f t="shared" si="94"/>
        <v>0</v>
      </c>
      <c r="N292" s="4">
        <f>IF(AND(入力シート!$F$22&gt;=中間シート!B292,'入力シート（2事業場以降）'!AR120=1),1,0)</f>
        <v>0</v>
      </c>
      <c r="W292" s="41" t="str">
        <f t="shared" ca="1" si="95"/>
        <v>OK</v>
      </c>
      <c r="X292" t="str">
        <f t="shared" ca="1" si="100"/>
        <v>OK</v>
      </c>
      <c r="Y292">
        <f t="shared" si="104"/>
        <v>0</v>
      </c>
      <c r="Z292">
        <f t="shared" si="101"/>
        <v>0</v>
      </c>
      <c r="AA292" s="18"/>
      <c r="AB292" t="s">
        <v>560</v>
      </c>
      <c r="AC292" t="s">
        <v>561</v>
      </c>
      <c r="AD292" t="s">
        <v>189</v>
      </c>
      <c r="AE292" t="s">
        <v>555</v>
      </c>
      <c r="AF292" t="s">
        <v>190</v>
      </c>
      <c r="AG292" t="s">
        <v>554</v>
      </c>
      <c r="AH292" t="s">
        <v>285</v>
      </c>
    </row>
    <row r="293" spans="2:34" x14ac:dyDescent="0.2">
      <c r="B293" s="5">
        <v>5</v>
      </c>
      <c r="C293" s="5">
        <v>1</v>
      </c>
      <c r="D293" s="4">
        <f t="shared" si="97"/>
        <v>0</v>
      </c>
      <c r="E293" s="4">
        <f t="shared" si="93"/>
        <v>0</v>
      </c>
      <c r="F293" s="4">
        <f>'入力シート（2事業場以降）'!AR351</f>
        <v>0</v>
      </c>
      <c r="G293" s="42">
        <f>'入力シート（2事業場以降）'!J351</f>
        <v>0</v>
      </c>
      <c r="H293" s="42">
        <f>'入力シート（2事業場以降）'!L351</f>
        <v>0</v>
      </c>
      <c r="I293" s="42">
        <v>0</v>
      </c>
      <c r="J293" s="14">
        <f t="shared" si="103"/>
        <v>0</v>
      </c>
      <c r="K293" s="14">
        <f t="shared" si="98"/>
        <v>0</v>
      </c>
      <c r="L293" s="14">
        <f t="shared" si="99"/>
        <v>0</v>
      </c>
      <c r="M293" s="56">
        <f t="shared" si="94"/>
        <v>0</v>
      </c>
      <c r="N293" s="4">
        <f>IF(AND(入力シート!$F$22&gt;=中間シート!B293,'入力シート（2事業場以降）'!AR123=1),1,0)</f>
        <v>0</v>
      </c>
      <c r="W293" s="41" t="str">
        <f t="shared" ca="1" si="95"/>
        <v>OK</v>
      </c>
      <c r="X293" t="str">
        <f t="shared" ca="1" si="100"/>
        <v>OK</v>
      </c>
      <c r="Y293">
        <f t="shared" si="104"/>
        <v>0</v>
      </c>
      <c r="Z293">
        <f t="shared" si="101"/>
        <v>0</v>
      </c>
      <c r="AA293" t="s">
        <v>557</v>
      </c>
      <c r="AB293" t="s">
        <v>560</v>
      </c>
      <c r="AC293" t="s">
        <v>561</v>
      </c>
      <c r="AD293" t="s">
        <v>189</v>
      </c>
      <c r="AE293" t="s">
        <v>555</v>
      </c>
      <c r="AF293" t="s">
        <v>190</v>
      </c>
      <c r="AG293" t="s">
        <v>554</v>
      </c>
      <c r="AH293" t="s">
        <v>285</v>
      </c>
    </row>
    <row r="294" spans="2:34" x14ac:dyDescent="0.2">
      <c r="B294" s="5">
        <v>5</v>
      </c>
      <c r="C294" s="5">
        <v>2</v>
      </c>
      <c r="D294" s="4">
        <f t="shared" si="97"/>
        <v>0</v>
      </c>
      <c r="E294" s="4">
        <f t="shared" si="93"/>
        <v>0</v>
      </c>
      <c r="F294" s="4">
        <f>'入力シート（2事業場以降）'!AR353</f>
        <v>0</v>
      </c>
      <c r="G294" s="42">
        <f>'入力シート（2事業場以降）'!J353</f>
        <v>0</v>
      </c>
      <c r="H294" s="42">
        <f>'入力シート（2事業場以降）'!L353</f>
        <v>0</v>
      </c>
      <c r="I294" s="42">
        <v>0</v>
      </c>
      <c r="J294" s="14">
        <f t="shared" si="103"/>
        <v>0</v>
      </c>
      <c r="K294" s="14">
        <f t="shared" si="98"/>
        <v>0</v>
      </c>
      <c r="L294" s="14">
        <f t="shared" si="99"/>
        <v>0</v>
      </c>
      <c r="M294" s="56">
        <f t="shared" si="94"/>
        <v>0</v>
      </c>
      <c r="N294" s="4">
        <f>IF(AND(入力シート!$F$22&gt;=中間シート!B294,'入力シート（2事業場以降）'!AR125=1),1,0)</f>
        <v>0</v>
      </c>
      <c r="W294" s="41" t="str">
        <f t="shared" ca="1" si="95"/>
        <v>OK</v>
      </c>
      <c r="X294" t="str">
        <f t="shared" ca="1" si="100"/>
        <v>OK</v>
      </c>
      <c r="Y294">
        <f t="shared" si="104"/>
        <v>0</v>
      </c>
      <c r="Z294">
        <f t="shared" si="101"/>
        <v>0</v>
      </c>
      <c r="AA294" s="18"/>
      <c r="AB294" t="s">
        <v>560</v>
      </c>
      <c r="AC294" t="s">
        <v>561</v>
      </c>
      <c r="AD294" t="s">
        <v>189</v>
      </c>
      <c r="AE294" t="s">
        <v>555</v>
      </c>
      <c r="AF294" t="s">
        <v>190</v>
      </c>
      <c r="AG294" t="s">
        <v>554</v>
      </c>
      <c r="AH294" t="s">
        <v>285</v>
      </c>
    </row>
    <row r="295" spans="2:34" x14ac:dyDescent="0.2">
      <c r="B295" s="5">
        <v>5</v>
      </c>
      <c r="C295" s="5">
        <v>3</v>
      </c>
      <c r="D295" s="4">
        <f t="shared" si="97"/>
        <v>0</v>
      </c>
      <c r="E295" s="4">
        <f t="shared" si="93"/>
        <v>0</v>
      </c>
      <c r="F295" s="4">
        <f>'入力シート（2事業場以降）'!AR355</f>
        <v>0</v>
      </c>
      <c r="G295" s="42">
        <f>'入力シート（2事業場以降）'!J355</f>
        <v>0</v>
      </c>
      <c r="H295" s="42">
        <f>'入力シート（2事業場以降）'!L355</f>
        <v>0</v>
      </c>
      <c r="I295" s="42">
        <v>0</v>
      </c>
      <c r="J295" s="14">
        <f t="shared" si="103"/>
        <v>0</v>
      </c>
      <c r="K295" s="14">
        <f t="shared" si="98"/>
        <v>0</v>
      </c>
      <c r="L295" s="14">
        <f t="shared" si="99"/>
        <v>0</v>
      </c>
      <c r="M295" s="56">
        <f t="shared" si="94"/>
        <v>0</v>
      </c>
      <c r="N295" s="4">
        <f>IF(AND(入力シート!$F$22&gt;=中間シート!B295,'入力シート（2事業場以降）'!AR127=1),1,0)</f>
        <v>0</v>
      </c>
      <c r="W295" s="41" t="str">
        <f t="shared" ca="1" si="95"/>
        <v>OK</v>
      </c>
      <c r="X295" t="str">
        <f t="shared" ca="1" si="100"/>
        <v>OK</v>
      </c>
      <c r="Y295">
        <f t="shared" si="104"/>
        <v>0</v>
      </c>
      <c r="Z295">
        <f t="shared" si="101"/>
        <v>0</v>
      </c>
      <c r="AA295" s="18"/>
      <c r="AB295" t="s">
        <v>560</v>
      </c>
      <c r="AC295" t="s">
        <v>561</v>
      </c>
      <c r="AD295" t="s">
        <v>189</v>
      </c>
      <c r="AE295" t="s">
        <v>555</v>
      </c>
      <c r="AF295" t="s">
        <v>190</v>
      </c>
      <c r="AG295" t="s">
        <v>554</v>
      </c>
      <c r="AH295" t="s">
        <v>285</v>
      </c>
    </row>
    <row r="296" spans="2:34" x14ac:dyDescent="0.2">
      <c r="B296" s="5">
        <v>6</v>
      </c>
      <c r="C296" s="5">
        <v>1</v>
      </c>
      <c r="D296" s="4">
        <f t="shared" si="97"/>
        <v>0</v>
      </c>
      <c r="E296" s="4">
        <f t="shared" si="93"/>
        <v>0</v>
      </c>
      <c r="F296" s="4">
        <f>'入力シート（2事業場以降）'!AR358</f>
        <v>0</v>
      </c>
      <c r="G296" s="42">
        <f>'入力シート（2事業場以降）'!J358</f>
        <v>0</v>
      </c>
      <c r="H296" s="42">
        <f>'入力シート（2事業場以降）'!L358</f>
        <v>0</v>
      </c>
      <c r="I296" s="42">
        <v>0</v>
      </c>
      <c r="J296" s="14">
        <f t="shared" si="103"/>
        <v>0</v>
      </c>
      <c r="K296" s="14">
        <f t="shared" si="98"/>
        <v>0</v>
      </c>
      <c r="L296" s="14">
        <f t="shared" si="99"/>
        <v>0</v>
      </c>
      <c r="M296" s="56">
        <f t="shared" si="94"/>
        <v>0</v>
      </c>
      <c r="N296" s="4">
        <f>IF(AND(入力シート!$F$22&gt;=中間シート!B296,'入力シート（2事業場以降）'!AR130=1),1,0)</f>
        <v>0</v>
      </c>
      <c r="W296" s="41" t="str">
        <f t="shared" ca="1" si="95"/>
        <v>OK</v>
      </c>
      <c r="X296" t="str">
        <f t="shared" ca="1" si="100"/>
        <v>OK</v>
      </c>
      <c r="Y296">
        <f t="shared" si="104"/>
        <v>0</v>
      </c>
      <c r="Z296">
        <f t="shared" si="101"/>
        <v>0</v>
      </c>
      <c r="AA296" t="s">
        <v>557</v>
      </c>
      <c r="AB296" t="s">
        <v>560</v>
      </c>
      <c r="AC296" t="s">
        <v>561</v>
      </c>
      <c r="AD296" t="s">
        <v>189</v>
      </c>
      <c r="AE296" t="s">
        <v>555</v>
      </c>
      <c r="AF296" t="s">
        <v>190</v>
      </c>
      <c r="AG296" t="s">
        <v>554</v>
      </c>
      <c r="AH296" t="s">
        <v>285</v>
      </c>
    </row>
    <row r="297" spans="2:34" x14ac:dyDescent="0.2">
      <c r="B297" s="5">
        <v>6</v>
      </c>
      <c r="C297" s="5">
        <v>2</v>
      </c>
      <c r="D297" s="4">
        <f t="shared" si="97"/>
        <v>0</v>
      </c>
      <c r="E297" s="4">
        <f t="shared" si="93"/>
        <v>0</v>
      </c>
      <c r="F297" s="4">
        <f>'入力シート（2事業場以降）'!AR360</f>
        <v>0</v>
      </c>
      <c r="G297" s="42">
        <f>'入力シート（2事業場以降）'!J360</f>
        <v>0</v>
      </c>
      <c r="H297" s="42">
        <f>'入力シート（2事業場以降）'!L360</f>
        <v>0</v>
      </c>
      <c r="I297" s="42">
        <v>0</v>
      </c>
      <c r="J297" s="14">
        <f t="shared" si="103"/>
        <v>0</v>
      </c>
      <c r="K297" s="14">
        <f t="shared" si="98"/>
        <v>0</v>
      </c>
      <c r="L297" s="14">
        <f t="shared" si="99"/>
        <v>0</v>
      </c>
      <c r="M297" s="56">
        <f t="shared" si="94"/>
        <v>0</v>
      </c>
      <c r="N297" s="4">
        <f>IF(AND(入力シート!$F$22&gt;=中間シート!B297,'入力シート（2事業場以降）'!AR132=1),1,0)</f>
        <v>0</v>
      </c>
      <c r="W297" s="41" t="str">
        <f t="shared" ca="1" si="95"/>
        <v>OK</v>
      </c>
      <c r="X297" t="str">
        <f t="shared" ca="1" si="100"/>
        <v>OK</v>
      </c>
      <c r="Y297">
        <f t="shared" si="104"/>
        <v>0</v>
      </c>
      <c r="Z297">
        <f t="shared" si="101"/>
        <v>0</v>
      </c>
      <c r="AA297" s="18"/>
      <c r="AB297" t="s">
        <v>560</v>
      </c>
      <c r="AC297" t="s">
        <v>561</v>
      </c>
      <c r="AD297" t="s">
        <v>189</v>
      </c>
      <c r="AE297" t="s">
        <v>555</v>
      </c>
      <c r="AF297" t="s">
        <v>190</v>
      </c>
      <c r="AG297" t="s">
        <v>554</v>
      </c>
      <c r="AH297" t="s">
        <v>285</v>
      </c>
    </row>
    <row r="298" spans="2:34" x14ac:dyDescent="0.2">
      <c r="B298" s="5">
        <v>6</v>
      </c>
      <c r="C298" s="5">
        <v>3</v>
      </c>
      <c r="D298" s="4">
        <f t="shared" si="97"/>
        <v>0</v>
      </c>
      <c r="E298" s="4">
        <f t="shared" si="93"/>
        <v>0</v>
      </c>
      <c r="F298" s="4">
        <f>'入力シート（2事業場以降）'!AR362</f>
        <v>0</v>
      </c>
      <c r="G298" s="42">
        <f>'入力シート（2事業場以降）'!J362</f>
        <v>0</v>
      </c>
      <c r="H298" s="42">
        <f>'入力シート（2事業場以降）'!L362</f>
        <v>0</v>
      </c>
      <c r="I298" s="42">
        <v>0</v>
      </c>
      <c r="J298" s="14">
        <f t="shared" si="103"/>
        <v>0</v>
      </c>
      <c r="K298" s="14">
        <f t="shared" si="98"/>
        <v>0</v>
      </c>
      <c r="L298" s="14">
        <f t="shared" si="99"/>
        <v>0</v>
      </c>
      <c r="M298" s="56">
        <f t="shared" si="94"/>
        <v>0</v>
      </c>
      <c r="N298" s="4">
        <f>IF(AND(入力シート!$F$22&gt;=中間シート!B298,'入力シート（2事業場以降）'!AR134=1),1,0)</f>
        <v>0</v>
      </c>
      <c r="W298" s="41" t="str">
        <f t="shared" ca="1" si="95"/>
        <v>OK</v>
      </c>
      <c r="X298" t="str">
        <f t="shared" ca="1" si="100"/>
        <v>OK</v>
      </c>
      <c r="Y298">
        <f t="shared" si="104"/>
        <v>0</v>
      </c>
      <c r="Z298">
        <f t="shared" si="101"/>
        <v>0</v>
      </c>
      <c r="AA298" s="18"/>
      <c r="AB298" t="s">
        <v>560</v>
      </c>
      <c r="AC298" t="s">
        <v>561</v>
      </c>
      <c r="AD298" t="s">
        <v>189</v>
      </c>
      <c r="AE298" t="s">
        <v>555</v>
      </c>
      <c r="AF298" t="s">
        <v>190</v>
      </c>
      <c r="AG298" t="s">
        <v>554</v>
      </c>
      <c r="AH298" t="s">
        <v>285</v>
      </c>
    </row>
    <row r="299" spans="2:34" x14ac:dyDescent="0.2">
      <c r="B299" s="5">
        <v>7</v>
      </c>
      <c r="C299" s="5">
        <v>1</v>
      </c>
      <c r="D299" s="4">
        <f t="shared" si="97"/>
        <v>0</v>
      </c>
      <c r="E299" s="4">
        <f t="shared" si="93"/>
        <v>0</v>
      </c>
      <c r="F299" s="4">
        <f>'入力シート（2事業場以降）'!AR365</f>
        <v>0</v>
      </c>
      <c r="G299" s="42">
        <f>'入力シート（2事業場以降）'!J365</f>
        <v>0</v>
      </c>
      <c r="H299" s="42">
        <f>'入力シート（2事業場以降）'!L365</f>
        <v>0</v>
      </c>
      <c r="I299" s="42">
        <v>0</v>
      </c>
      <c r="J299" s="14">
        <f t="shared" si="103"/>
        <v>0</v>
      </c>
      <c r="K299" s="14">
        <f t="shared" si="98"/>
        <v>0</v>
      </c>
      <c r="L299" s="14">
        <f t="shared" si="99"/>
        <v>0</v>
      </c>
      <c r="M299" s="56">
        <f t="shared" si="94"/>
        <v>0</v>
      </c>
      <c r="N299" s="4">
        <f>IF(AND(入力シート!$F$22&gt;=中間シート!B299,'入力シート（2事業場以降）'!AR137=1),1,0)</f>
        <v>0</v>
      </c>
      <c r="W299" s="41" t="str">
        <f t="shared" ca="1" si="95"/>
        <v>OK</v>
      </c>
      <c r="X299" t="str">
        <f t="shared" ca="1" si="100"/>
        <v>OK</v>
      </c>
      <c r="Y299">
        <f t="shared" si="104"/>
        <v>0</v>
      </c>
      <c r="Z299">
        <f t="shared" si="101"/>
        <v>0</v>
      </c>
      <c r="AA299" t="s">
        <v>557</v>
      </c>
      <c r="AB299" t="s">
        <v>560</v>
      </c>
      <c r="AC299" t="s">
        <v>561</v>
      </c>
      <c r="AD299" t="s">
        <v>189</v>
      </c>
      <c r="AE299" t="s">
        <v>555</v>
      </c>
      <c r="AF299" t="s">
        <v>190</v>
      </c>
      <c r="AG299" t="s">
        <v>554</v>
      </c>
      <c r="AH299" t="s">
        <v>285</v>
      </c>
    </row>
    <row r="300" spans="2:34" x14ac:dyDescent="0.2">
      <c r="B300" s="5">
        <v>7</v>
      </c>
      <c r="C300" s="5">
        <v>2</v>
      </c>
      <c r="D300" s="4">
        <f t="shared" si="97"/>
        <v>0</v>
      </c>
      <c r="E300" s="4">
        <f t="shared" si="93"/>
        <v>0</v>
      </c>
      <c r="F300" s="4">
        <f>'入力シート（2事業場以降）'!AR367</f>
        <v>0</v>
      </c>
      <c r="G300" s="42">
        <f>'入力シート（2事業場以降）'!J367</f>
        <v>0</v>
      </c>
      <c r="H300" s="42">
        <f>'入力シート（2事業場以降）'!L367</f>
        <v>0</v>
      </c>
      <c r="I300" s="42">
        <v>0</v>
      </c>
      <c r="J300" s="14">
        <f t="shared" si="103"/>
        <v>0</v>
      </c>
      <c r="K300" s="14">
        <f t="shared" si="98"/>
        <v>0</v>
      </c>
      <c r="L300" s="14">
        <f t="shared" si="99"/>
        <v>0</v>
      </c>
      <c r="M300" s="56">
        <f t="shared" si="94"/>
        <v>0</v>
      </c>
      <c r="N300" s="4">
        <f>IF(AND(入力シート!$F$22&gt;=中間シート!B300,'入力シート（2事業場以降）'!AR139=1),1,0)</f>
        <v>0</v>
      </c>
      <c r="W300" s="41" t="str">
        <f t="shared" ca="1" si="95"/>
        <v>OK</v>
      </c>
      <c r="X300" t="str">
        <f t="shared" ca="1" si="100"/>
        <v>OK</v>
      </c>
      <c r="Y300">
        <f t="shared" si="104"/>
        <v>0</v>
      </c>
      <c r="Z300">
        <f t="shared" si="101"/>
        <v>0</v>
      </c>
      <c r="AA300" s="18"/>
      <c r="AB300" t="s">
        <v>560</v>
      </c>
      <c r="AC300" t="s">
        <v>561</v>
      </c>
      <c r="AD300" t="s">
        <v>189</v>
      </c>
      <c r="AE300" t="s">
        <v>555</v>
      </c>
      <c r="AF300" t="s">
        <v>190</v>
      </c>
      <c r="AG300" t="s">
        <v>554</v>
      </c>
      <c r="AH300" t="s">
        <v>285</v>
      </c>
    </row>
    <row r="301" spans="2:34" x14ac:dyDescent="0.2">
      <c r="B301" s="5">
        <v>7</v>
      </c>
      <c r="C301" s="5">
        <v>3</v>
      </c>
      <c r="D301" s="4">
        <f t="shared" si="97"/>
        <v>0</v>
      </c>
      <c r="E301" s="4">
        <f t="shared" si="93"/>
        <v>0</v>
      </c>
      <c r="F301" s="4">
        <f>'入力シート（2事業場以降）'!AR369</f>
        <v>0</v>
      </c>
      <c r="G301" s="42">
        <f>'入力シート（2事業場以降）'!J369</f>
        <v>0</v>
      </c>
      <c r="H301" s="42">
        <f>'入力シート（2事業場以降）'!L369</f>
        <v>0</v>
      </c>
      <c r="I301" s="42">
        <v>0</v>
      </c>
      <c r="J301" s="14">
        <f t="shared" si="103"/>
        <v>0</v>
      </c>
      <c r="K301" s="14">
        <f t="shared" si="98"/>
        <v>0</v>
      </c>
      <c r="L301" s="14">
        <f t="shared" si="99"/>
        <v>0</v>
      </c>
      <c r="M301" s="56">
        <f t="shared" si="94"/>
        <v>0</v>
      </c>
      <c r="N301" s="4">
        <f>IF(AND(入力シート!$F$22&gt;=中間シート!B301,'入力シート（2事業場以降）'!AR141=1),1,0)</f>
        <v>0</v>
      </c>
      <c r="W301" s="41" t="str">
        <f t="shared" ca="1" si="95"/>
        <v>OK</v>
      </c>
      <c r="X301" t="str">
        <f t="shared" ca="1" si="100"/>
        <v>OK</v>
      </c>
      <c r="Y301">
        <f t="shared" si="104"/>
        <v>0</v>
      </c>
      <c r="Z301">
        <f t="shared" si="101"/>
        <v>0</v>
      </c>
      <c r="AA301" s="18"/>
      <c r="AB301" t="s">
        <v>560</v>
      </c>
      <c r="AC301" t="s">
        <v>561</v>
      </c>
      <c r="AD301" t="s">
        <v>189</v>
      </c>
      <c r="AE301" t="s">
        <v>555</v>
      </c>
      <c r="AF301" t="s">
        <v>190</v>
      </c>
      <c r="AG301" t="s">
        <v>554</v>
      </c>
      <c r="AH301" t="s">
        <v>285</v>
      </c>
    </row>
    <row r="302" spans="2:34" x14ac:dyDescent="0.2">
      <c r="B302" s="5">
        <v>8</v>
      </c>
      <c r="C302" s="5">
        <v>1</v>
      </c>
      <c r="D302" s="4">
        <f t="shared" si="97"/>
        <v>0</v>
      </c>
      <c r="E302" s="4">
        <f t="shared" si="93"/>
        <v>0</v>
      </c>
      <c r="F302" s="4">
        <f>'入力シート（2事業場以降）'!AR372</f>
        <v>0</v>
      </c>
      <c r="G302" s="42">
        <f>'入力シート（2事業場以降）'!J372</f>
        <v>0</v>
      </c>
      <c r="H302" s="42">
        <f>'入力シート（2事業場以降）'!L372</f>
        <v>0</v>
      </c>
      <c r="I302" s="42">
        <v>0</v>
      </c>
      <c r="J302" s="14">
        <f t="shared" si="103"/>
        <v>0</v>
      </c>
      <c r="K302" s="14">
        <f t="shared" si="98"/>
        <v>0</v>
      </c>
      <c r="L302" s="14">
        <f t="shared" si="99"/>
        <v>0</v>
      </c>
      <c r="M302" s="56">
        <f t="shared" si="94"/>
        <v>0</v>
      </c>
      <c r="N302" s="4">
        <f>IF(AND(入力シート!$F$22&gt;=中間シート!B302,'入力シート（2事業場以降）'!AR144=1),1,0)</f>
        <v>0</v>
      </c>
      <c r="W302" s="41" t="str">
        <f t="shared" ca="1" si="95"/>
        <v>OK</v>
      </c>
      <c r="X302" t="str">
        <f t="shared" ca="1" si="100"/>
        <v>OK</v>
      </c>
      <c r="Y302">
        <f t="shared" si="104"/>
        <v>0</v>
      </c>
      <c r="Z302">
        <f t="shared" si="101"/>
        <v>0</v>
      </c>
      <c r="AA302" t="s">
        <v>557</v>
      </c>
      <c r="AB302" t="s">
        <v>560</v>
      </c>
      <c r="AC302" t="s">
        <v>561</v>
      </c>
      <c r="AD302" t="s">
        <v>189</v>
      </c>
      <c r="AE302" t="s">
        <v>555</v>
      </c>
      <c r="AF302" t="s">
        <v>190</v>
      </c>
      <c r="AG302" t="s">
        <v>554</v>
      </c>
      <c r="AH302" t="s">
        <v>285</v>
      </c>
    </row>
    <row r="303" spans="2:34" x14ac:dyDescent="0.2">
      <c r="B303" s="5">
        <v>8</v>
      </c>
      <c r="C303" s="5">
        <v>2</v>
      </c>
      <c r="D303" s="4">
        <f t="shared" si="97"/>
        <v>0</v>
      </c>
      <c r="E303" s="4">
        <f t="shared" si="93"/>
        <v>0</v>
      </c>
      <c r="F303" s="4">
        <f>'入力シート（2事業場以降）'!AR374</f>
        <v>0</v>
      </c>
      <c r="G303" s="42">
        <f>'入力シート（2事業場以降）'!J374</f>
        <v>0</v>
      </c>
      <c r="H303" s="42">
        <f>'入力シート（2事業場以降）'!L374</f>
        <v>0</v>
      </c>
      <c r="I303" s="42">
        <v>0</v>
      </c>
      <c r="J303" s="14">
        <f t="shared" si="103"/>
        <v>0</v>
      </c>
      <c r="K303" s="14">
        <f t="shared" si="98"/>
        <v>0</v>
      </c>
      <c r="L303" s="14">
        <f t="shared" si="99"/>
        <v>0</v>
      </c>
      <c r="M303" s="56">
        <f t="shared" si="94"/>
        <v>0</v>
      </c>
      <c r="N303" s="4">
        <f>IF(AND(入力シート!$F$22&gt;=中間シート!B303,'入力シート（2事業場以降）'!AR146=1),1,0)</f>
        <v>0</v>
      </c>
      <c r="W303" s="41" t="str">
        <f t="shared" ca="1" si="95"/>
        <v>OK</v>
      </c>
      <c r="X303" t="str">
        <f t="shared" ca="1" si="100"/>
        <v>OK</v>
      </c>
      <c r="Y303">
        <f t="shared" si="104"/>
        <v>0</v>
      </c>
      <c r="Z303">
        <f t="shared" si="101"/>
        <v>0</v>
      </c>
      <c r="AA303" s="18"/>
      <c r="AB303" t="s">
        <v>560</v>
      </c>
      <c r="AC303" t="s">
        <v>561</v>
      </c>
      <c r="AD303" t="s">
        <v>189</v>
      </c>
      <c r="AE303" t="s">
        <v>555</v>
      </c>
      <c r="AF303" t="s">
        <v>190</v>
      </c>
      <c r="AG303" t="s">
        <v>554</v>
      </c>
      <c r="AH303" t="s">
        <v>285</v>
      </c>
    </row>
    <row r="304" spans="2:34" x14ac:dyDescent="0.2">
      <c r="B304" s="5">
        <v>8</v>
      </c>
      <c r="C304" s="5">
        <v>3</v>
      </c>
      <c r="D304" s="4">
        <f t="shared" si="97"/>
        <v>0</v>
      </c>
      <c r="E304" s="4">
        <f t="shared" si="93"/>
        <v>0</v>
      </c>
      <c r="F304" s="4">
        <f>'入力シート（2事業場以降）'!AR376</f>
        <v>0</v>
      </c>
      <c r="G304" s="42">
        <f>'入力シート（2事業場以降）'!J376</f>
        <v>0</v>
      </c>
      <c r="H304" s="42">
        <f>'入力シート（2事業場以降）'!L376</f>
        <v>0</v>
      </c>
      <c r="I304" s="42">
        <v>0</v>
      </c>
      <c r="J304" s="14">
        <f t="shared" si="103"/>
        <v>0</v>
      </c>
      <c r="K304" s="14">
        <f t="shared" si="98"/>
        <v>0</v>
      </c>
      <c r="L304" s="14">
        <f t="shared" si="99"/>
        <v>0</v>
      </c>
      <c r="M304" s="56">
        <f t="shared" si="94"/>
        <v>0</v>
      </c>
      <c r="N304" s="4">
        <f>IF(AND(入力シート!$F$22&gt;=中間シート!B304,'入力シート（2事業場以降）'!AR148=1),1,0)</f>
        <v>0</v>
      </c>
      <c r="W304" s="41" t="str">
        <f t="shared" ca="1" si="95"/>
        <v>OK</v>
      </c>
      <c r="X304" t="str">
        <f t="shared" ca="1" si="100"/>
        <v>OK</v>
      </c>
      <c r="Y304">
        <f t="shared" si="104"/>
        <v>0</v>
      </c>
      <c r="Z304">
        <f t="shared" si="101"/>
        <v>0</v>
      </c>
      <c r="AA304" s="18"/>
      <c r="AB304" t="s">
        <v>560</v>
      </c>
      <c r="AC304" t="s">
        <v>561</v>
      </c>
      <c r="AD304" t="s">
        <v>189</v>
      </c>
      <c r="AE304" t="s">
        <v>555</v>
      </c>
      <c r="AF304" t="s">
        <v>190</v>
      </c>
      <c r="AG304" t="s">
        <v>554</v>
      </c>
      <c r="AH304" t="s">
        <v>285</v>
      </c>
    </row>
    <row r="305" spans="2:34" x14ac:dyDescent="0.2">
      <c r="B305" s="5">
        <v>9</v>
      </c>
      <c r="C305" s="5">
        <v>1</v>
      </c>
      <c r="D305" s="4">
        <f t="shared" si="97"/>
        <v>0</v>
      </c>
      <c r="E305" s="4">
        <f t="shared" si="93"/>
        <v>0</v>
      </c>
      <c r="F305" s="4">
        <f>'入力シート（2事業場以降）'!AR379</f>
        <v>0</v>
      </c>
      <c r="G305" s="42">
        <f>'入力シート（2事業場以降）'!J379</f>
        <v>0</v>
      </c>
      <c r="H305" s="42">
        <f>'入力シート（2事業場以降）'!L379</f>
        <v>0</v>
      </c>
      <c r="I305" s="42">
        <v>0</v>
      </c>
      <c r="J305" s="14">
        <f t="shared" si="103"/>
        <v>0</v>
      </c>
      <c r="K305" s="14">
        <f t="shared" si="98"/>
        <v>0</v>
      </c>
      <c r="L305" s="14">
        <f t="shared" si="99"/>
        <v>0</v>
      </c>
      <c r="M305" s="56">
        <f t="shared" si="94"/>
        <v>0</v>
      </c>
      <c r="N305" s="4">
        <f>IF(AND(入力シート!$F$22&gt;=中間シート!B305,'入力シート（2事業場以降）'!AR151=1),1,0)</f>
        <v>0</v>
      </c>
      <c r="W305" s="41" t="str">
        <f t="shared" ca="1" si="95"/>
        <v>OK</v>
      </c>
      <c r="X305" t="str">
        <f t="shared" ca="1" si="100"/>
        <v>OK</v>
      </c>
      <c r="Y305">
        <f t="shared" si="104"/>
        <v>0</v>
      </c>
      <c r="Z305">
        <f t="shared" si="101"/>
        <v>0</v>
      </c>
      <c r="AA305" t="s">
        <v>557</v>
      </c>
      <c r="AB305" t="s">
        <v>560</v>
      </c>
      <c r="AC305" t="s">
        <v>561</v>
      </c>
      <c r="AD305" t="s">
        <v>189</v>
      </c>
      <c r="AE305" t="s">
        <v>555</v>
      </c>
      <c r="AF305" t="s">
        <v>190</v>
      </c>
      <c r="AG305" t="s">
        <v>554</v>
      </c>
      <c r="AH305" t="s">
        <v>285</v>
      </c>
    </row>
    <row r="306" spans="2:34" x14ac:dyDescent="0.2">
      <c r="B306" s="5">
        <v>9</v>
      </c>
      <c r="C306" s="5">
        <v>2</v>
      </c>
      <c r="D306" s="4">
        <f t="shared" si="97"/>
        <v>0</v>
      </c>
      <c r="E306" s="4">
        <f t="shared" si="93"/>
        <v>0</v>
      </c>
      <c r="F306" s="4">
        <f>'入力シート（2事業場以降）'!AR381</f>
        <v>0</v>
      </c>
      <c r="G306" s="42">
        <f>'入力シート（2事業場以降）'!J381</f>
        <v>0</v>
      </c>
      <c r="H306" s="42">
        <f>'入力シート（2事業場以降）'!L381</f>
        <v>0</v>
      </c>
      <c r="I306" s="42">
        <v>0</v>
      </c>
      <c r="J306" s="14">
        <f t="shared" si="103"/>
        <v>0</v>
      </c>
      <c r="K306" s="14">
        <f t="shared" si="98"/>
        <v>0</v>
      </c>
      <c r="L306" s="14">
        <f t="shared" si="99"/>
        <v>0</v>
      </c>
      <c r="M306" s="56">
        <f t="shared" si="94"/>
        <v>0</v>
      </c>
      <c r="N306" s="4">
        <f>IF(AND(入力シート!$F$22&gt;=中間シート!B306,'入力シート（2事業場以降）'!AR153=1),1,0)</f>
        <v>0</v>
      </c>
      <c r="W306" s="41" t="str">
        <f t="shared" ca="1" si="95"/>
        <v>OK</v>
      </c>
      <c r="X306" t="str">
        <f t="shared" ca="1" si="100"/>
        <v>OK</v>
      </c>
      <c r="Y306">
        <f t="shared" si="104"/>
        <v>0</v>
      </c>
      <c r="Z306">
        <f t="shared" si="101"/>
        <v>0</v>
      </c>
      <c r="AA306" s="18"/>
      <c r="AB306" t="s">
        <v>560</v>
      </c>
      <c r="AC306" t="s">
        <v>561</v>
      </c>
      <c r="AD306" t="s">
        <v>189</v>
      </c>
      <c r="AE306" t="s">
        <v>555</v>
      </c>
      <c r="AF306" t="s">
        <v>190</v>
      </c>
      <c r="AG306" t="s">
        <v>554</v>
      </c>
      <c r="AH306" t="s">
        <v>285</v>
      </c>
    </row>
    <row r="307" spans="2:34" x14ac:dyDescent="0.2">
      <c r="B307" s="5">
        <v>9</v>
      </c>
      <c r="C307" s="5">
        <v>3</v>
      </c>
      <c r="D307" s="4">
        <f t="shared" si="97"/>
        <v>0</v>
      </c>
      <c r="E307" s="4">
        <f t="shared" si="93"/>
        <v>0</v>
      </c>
      <c r="F307" s="4">
        <f>'入力シート（2事業場以降）'!AR383</f>
        <v>0</v>
      </c>
      <c r="G307" s="42">
        <f>'入力シート（2事業場以降）'!J383</f>
        <v>0</v>
      </c>
      <c r="H307" s="42">
        <f>'入力シート（2事業場以降）'!L383</f>
        <v>0</v>
      </c>
      <c r="I307" s="42">
        <v>0</v>
      </c>
      <c r="J307" s="14">
        <f t="shared" si="103"/>
        <v>0</v>
      </c>
      <c r="K307" s="14">
        <f t="shared" si="98"/>
        <v>0</v>
      </c>
      <c r="L307" s="14">
        <f t="shared" si="99"/>
        <v>0</v>
      </c>
      <c r="M307" s="56">
        <f t="shared" si="94"/>
        <v>0</v>
      </c>
      <c r="N307" s="4">
        <f>IF(AND(入力シート!$F$22&gt;=中間シート!B307,'入力シート（2事業場以降）'!AR155=1),1,0)</f>
        <v>0</v>
      </c>
      <c r="W307" s="41" t="str">
        <f t="shared" ca="1" si="95"/>
        <v>OK</v>
      </c>
      <c r="X307" t="str">
        <f t="shared" ca="1" si="100"/>
        <v>OK</v>
      </c>
      <c r="Y307">
        <f t="shared" si="104"/>
        <v>0</v>
      </c>
      <c r="Z307">
        <f t="shared" si="101"/>
        <v>0</v>
      </c>
      <c r="AA307" s="18"/>
      <c r="AB307" t="s">
        <v>560</v>
      </c>
      <c r="AC307" t="s">
        <v>561</v>
      </c>
      <c r="AD307" t="s">
        <v>189</v>
      </c>
      <c r="AE307" t="s">
        <v>555</v>
      </c>
      <c r="AF307" t="s">
        <v>190</v>
      </c>
      <c r="AG307" t="s">
        <v>554</v>
      </c>
      <c r="AH307" t="s">
        <v>285</v>
      </c>
    </row>
    <row r="308" spans="2:34" x14ac:dyDescent="0.2">
      <c r="B308" s="5">
        <v>10</v>
      </c>
      <c r="C308" s="5">
        <v>1</v>
      </c>
      <c r="D308" s="4">
        <f t="shared" si="97"/>
        <v>0</v>
      </c>
      <c r="E308" s="4">
        <f t="shared" si="93"/>
        <v>0</v>
      </c>
      <c r="F308" s="4">
        <f>'入力シート（2事業場以降）'!AR386</f>
        <v>0</v>
      </c>
      <c r="G308" s="42">
        <f>'入力シート（2事業場以降）'!J386</f>
        <v>0</v>
      </c>
      <c r="H308" s="42">
        <f>'入力シート（2事業場以降）'!L386</f>
        <v>0</v>
      </c>
      <c r="I308" s="42">
        <v>0</v>
      </c>
      <c r="J308" s="14">
        <f t="shared" si="103"/>
        <v>0</v>
      </c>
      <c r="K308" s="14">
        <f t="shared" si="98"/>
        <v>0</v>
      </c>
      <c r="L308" s="14">
        <f t="shared" si="99"/>
        <v>0</v>
      </c>
      <c r="M308" s="56">
        <f t="shared" si="94"/>
        <v>0</v>
      </c>
      <c r="N308" s="4">
        <f>IF(AND(入力シート!$F$22&gt;=中間シート!B308,'入力シート（2事業場以降）'!AR158=1),1,0)</f>
        <v>0</v>
      </c>
      <c r="W308" s="41" t="str">
        <f t="shared" ca="1" si="95"/>
        <v>OK</v>
      </c>
      <c r="X308" t="str">
        <f t="shared" ca="1" si="100"/>
        <v>OK</v>
      </c>
      <c r="Y308">
        <f t="shared" si="104"/>
        <v>0</v>
      </c>
      <c r="Z308">
        <f t="shared" si="101"/>
        <v>0</v>
      </c>
      <c r="AA308" t="s">
        <v>557</v>
      </c>
      <c r="AB308" t="s">
        <v>560</v>
      </c>
      <c r="AC308" t="s">
        <v>561</v>
      </c>
      <c r="AD308" t="s">
        <v>189</v>
      </c>
      <c r="AE308" t="s">
        <v>555</v>
      </c>
      <c r="AF308" t="s">
        <v>190</v>
      </c>
      <c r="AG308" t="s">
        <v>554</v>
      </c>
      <c r="AH308" t="s">
        <v>285</v>
      </c>
    </row>
    <row r="309" spans="2:34" x14ac:dyDescent="0.2">
      <c r="B309" s="5">
        <v>10</v>
      </c>
      <c r="C309" s="5">
        <v>2</v>
      </c>
      <c r="D309" s="4">
        <f t="shared" si="97"/>
        <v>0</v>
      </c>
      <c r="E309" s="4">
        <f t="shared" si="93"/>
        <v>0</v>
      </c>
      <c r="F309" s="4">
        <f>'入力シート（2事業場以降）'!AR388</f>
        <v>0</v>
      </c>
      <c r="G309" s="42">
        <f>'入力シート（2事業場以降）'!J388</f>
        <v>0</v>
      </c>
      <c r="H309" s="42">
        <f>'入力シート（2事業場以降）'!L388</f>
        <v>0</v>
      </c>
      <c r="I309" s="42">
        <v>0</v>
      </c>
      <c r="J309" s="14">
        <f t="shared" si="103"/>
        <v>0</v>
      </c>
      <c r="K309" s="14">
        <f t="shared" si="98"/>
        <v>0</v>
      </c>
      <c r="L309" s="14">
        <f t="shared" si="99"/>
        <v>0</v>
      </c>
      <c r="M309" s="56">
        <f t="shared" si="94"/>
        <v>0</v>
      </c>
      <c r="N309" s="4">
        <f>IF(AND(入力シート!$F$22&gt;=中間シート!B309,'入力シート（2事業場以降）'!AR160=1),1,0)</f>
        <v>0</v>
      </c>
      <c r="W309" s="41" t="str">
        <f t="shared" ca="1" si="95"/>
        <v>OK</v>
      </c>
      <c r="X309" t="str">
        <f t="shared" ca="1" si="100"/>
        <v>OK</v>
      </c>
      <c r="Y309">
        <f t="shared" si="104"/>
        <v>0</v>
      </c>
      <c r="Z309">
        <f t="shared" si="101"/>
        <v>0</v>
      </c>
      <c r="AA309" s="18"/>
      <c r="AB309" t="s">
        <v>560</v>
      </c>
      <c r="AC309" t="s">
        <v>561</v>
      </c>
      <c r="AD309" t="s">
        <v>189</v>
      </c>
      <c r="AE309" t="s">
        <v>555</v>
      </c>
      <c r="AF309" t="s">
        <v>190</v>
      </c>
      <c r="AG309" t="s">
        <v>554</v>
      </c>
      <c r="AH309" t="s">
        <v>285</v>
      </c>
    </row>
    <row r="310" spans="2:34" x14ac:dyDescent="0.2">
      <c r="B310" s="5">
        <v>10</v>
      </c>
      <c r="C310" s="5">
        <v>3</v>
      </c>
      <c r="D310" s="4">
        <f t="shared" si="97"/>
        <v>0</v>
      </c>
      <c r="E310" s="4">
        <f t="shared" si="93"/>
        <v>0</v>
      </c>
      <c r="F310" s="4">
        <f>'入力シート（2事業場以降）'!AR390</f>
        <v>0</v>
      </c>
      <c r="G310" s="42">
        <f>'入力シート（2事業場以降）'!J390</f>
        <v>0</v>
      </c>
      <c r="H310" s="42">
        <f>'入力シート（2事業場以降）'!L390</f>
        <v>0</v>
      </c>
      <c r="I310" s="42">
        <v>0</v>
      </c>
      <c r="J310" s="14">
        <f t="shared" si="103"/>
        <v>0</v>
      </c>
      <c r="K310" s="14">
        <f t="shared" si="98"/>
        <v>0</v>
      </c>
      <c r="L310" s="14">
        <f t="shared" si="99"/>
        <v>0</v>
      </c>
      <c r="M310" s="56">
        <f t="shared" si="94"/>
        <v>0</v>
      </c>
      <c r="N310" s="4">
        <f>IF(AND(入力シート!$F$22&gt;=中間シート!B310,'入力シート（2事業場以降）'!AR162=1),1,0)</f>
        <v>0</v>
      </c>
      <c r="W310" s="41" t="str">
        <f t="shared" ca="1" si="95"/>
        <v>OK</v>
      </c>
      <c r="X310" t="str">
        <f t="shared" ca="1" si="100"/>
        <v>OK</v>
      </c>
      <c r="Y310">
        <f t="shared" si="104"/>
        <v>0</v>
      </c>
      <c r="Z310">
        <f t="shared" si="101"/>
        <v>0</v>
      </c>
      <c r="AA310" s="18"/>
      <c r="AB310" t="s">
        <v>560</v>
      </c>
      <c r="AC310" t="s">
        <v>561</v>
      </c>
      <c r="AD310" t="s">
        <v>189</v>
      </c>
      <c r="AE310" t="s">
        <v>555</v>
      </c>
      <c r="AF310" t="s">
        <v>190</v>
      </c>
      <c r="AG310" t="s">
        <v>554</v>
      </c>
      <c r="AH310" t="s">
        <v>285</v>
      </c>
    </row>
    <row r="311" spans="2:34" x14ac:dyDescent="0.2">
      <c r="B311" s="5">
        <v>11</v>
      </c>
      <c r="C311" s="5">
        <v>1</v>
      </c>
      <c r="D311" s="4">
        <f t="shared" si="97"/>
        <v>0</v>
      </c>
      <c r="E311" s="4">
        <f t="shared" si="93"/>
        <v>0</v>
      </c>
      <c r="F311" s="4">
        <f>'入力シート（2事業場以降）'!AR393</f>
        <v>0</v>
      </c>
      <c r="G311" s="42">
        <f>'入力シート（2事業場以降）'!J393</f>
        <v>0</v>
      </c>
      <c r="H311" s="42">
        <f>'入力シート（2事業場以降）'!L393</f>
        <v>0</v>
      </c>
      <c r="I311" s="42">
        <v>0</v>
      </c>
      <c r="J311" s="14">
        <f t="shared" ref="J311:J370" si="105">IF(E311=1,IF(F311=2,K311+L311,G311),0)</f>
        <v>0</v>
      </c>
      <c r="K311" s="14">
        <f t="shared" si="98"/>
        <v>0</v>
      </c>
      <c r="L311" s="14">
        <f t="shared" si="99"/>
        <v>0</v>
      </c>
      <c r="M311" s="56">
        <f t="shared" si="94"/>
        <v>0</v>
      </c>
      <c r="N311" s="4">
        <f>IF(AND(入力シート!$F$22&gt;=中間シート!B311,'入力シート（2事業場以降）'!AR165=1),1,0)</f>
        <v>0</v>
      </c>
      <c r="W311" s="41" t="str">
        <f t="shared" ca="1" si="95"/>
        <v>OK</v>
      </c>
      <c r="X311" t="str">
        <f t="shared" ca="1" si="100"/>
        <v>OK</v>
      </c>
      <c r="Y311">
        <f t="shared" si="104"/>
        <v>0</v>
      </c>
      <c r="Z311">
        <f t="shared" si="101"/>
        <v>0</v>
      </c>
      <c r="AA311" t="s">
        <v>557</v>
      </c>
      <c r="AB311" t="s">
        <v>560</v>
      </c>
      <c r="AC311" t="s">
        <v>561</v>
      </c>
      <c r="AD311" t="s">
        <v>189</v>
      </c>
      <c r="AE311" t="s">
        <v>555</v>
      </c>
      <c r="AF311" t="s">
        <v>190</v>
      </c>
      <c r="AG311" t="s">
        <v>554</v>
      </c>
      <c r="AH311" t="s">
        <v>285</v>
      </c>
    </row>
    <row r="312" spans="2:34" x14ac:dyDescent="0.2">
      <c r="B312" s="5">
        <v>11</v>
      </c>
      <c r="C312" s="5">
        <v>2</v>
      </c>
      <c r="D312" s="4">
        <f t="shared" si="97"/>
        <v>0</v>
      </c>
      <c r="E312" s="4">
        <f t="shared" si="93"/>
        <v>0</v>
      </c>
      <c r="F312" s="4">
        <f>'入力シート（2事業場以降）'!AR395</f>
        <v>0</v>
      </c>
      <c r="G312" s="42">
        <f>'入力シート（2事業場以降）'!J395</f>
        <v>0</v>
      </c>
      <c r="H312" s="42">
        <f>'入力シート（2事業場以降）'!L395</f>
        <v>0</v>
      </c>
      <c r="I312" s="42">
        <v>0</v>
      </c>
      <c r="J312" s="14">
        <f t="shared" si="105"/>
        <v>0</v>
      </c>
      <c r="K312" s="14">
        <f t="shared" si="98"/>
        <v>0</v>
      </c>
      <c r="L312" s="14">
        <f t="shared" si="99"/>
        <v>0</v>
      </c>
      <c r="M312" s="56">
        <f t="shared" si="94"/>
        <v>0</v>
      </c>
      <c r="N312" s="4">
        <f>IF(AND(入力シート!$F$22&gt;=中間シート!B312,'入力シート（2事業場以降）'!AR167=1),1,0)</f>
        <v>0</v>
      </c>
      <c r="W312" s="41" t="str">
        <f t="shared" ca="1" si="95"/>
        <v>OK</v>
      </c>
      <c r="X312" t="str">
        <f t="shared" ca="1" si="100"/>
        <v>OK</v>
      </c>
      <c r="Y312">
        <f t="shared" si="104"/>
        <v>0</v>
      </c>
      <c r="Z312">
        <f t="shared" si="101"/>
        <v>0</v>
      </c>
      <c r="AA312" s="18"/>
      <c r="AB312" t="s">
        <v>560</v>
      </c>
      <c r="AC312" t="s">
        <v>561</v>
      </c>
      <c r="AD312" t="s">
        <v>189</v>
      </c>
      <c r="AE312" t="s">
        <v>555</v>
      </c>
      <c r="AF312" t="s">
        <v>190</v>
      </c>
      <c r="AG312" t="s">
        <v>554</v>
      </c>
      <c r="AH312" t="s">
        <v>285</v>
      </c>
    </row>
    <row r="313" spans="2:34" x14ac:dyDescent="0.2">
      <c r="B313" s="5">
        <v>11</v>
      </c>
      <c r="C313" s="5">
        <v>3</v>
      </c>
      <c r="D313" s="4">
        <f t="shared" si="97"/>
        <v>0</v>
      </c>
      <c r="E313" s="4">
        <f t="shared" ref="E313:E344" si="106">IF(AND(D313=1,Y219=0,Z219=0),1,0)</f>
        <v>0</v>
      </c>
      <c r="F313" s="4">
        <f>'入力シート（2事業場以降）'!AR397</f>
        <v>0</v>
      </c>
      <c r="G313" s="42">
        <f>'入力シート（2事業場以降）'!J397</f>
        <v>0</v>
      </c>
      <c r="H313" s="42">
        <f>'入力シート（2事業場以降）'!L397</f>
        <v>0</v>
      </c>
      <c r="I313" s="42">
        <v>0</v>
      </c>
      <c r="J313" s="14">
        <f t="shared" si="105"/>
        <v>0</v>
      </c>
      <c r="K313" s="14">
        <f t="shared" si="98"/>
        <v>0</v>
      </c>
      <c r="L313" s="14">
        <f t="shared" si="99"/>
        <v>0</v>
      </c>
      <c r="M313" s="56">
        <f t="shared" ref="M313:M344" si="107">IF(C313=1,SUM(K313:L315),M312)</f>
        <v>0</v>
      </c>
      <c r="N313" s="4">
        <f>IF(AND(入力シート!$F$22&gt;=中間シート!B313,'入力シート（2事業場以降）'!AR169=1),1,0)</f>
        <v>0</v>
      </c>
      <c r="W313" s="41" t="str">
        <f t="shared" ref="W313:W344" ca="1" si="108">IF(OR(X313=$V$1,X313=""),$V$1,"NG")</f>
        <v>OK</v>
      </c>
      <c r="X313" t="str">
        <f t="shared" ca="1" si="100"/>
        <v>OK</v>
      </c>
      <c r="Y313">
        <f t="shared" si="104"/>
        <v>0</v>
      </c>
      <c r="Z313">
        <f t="shared" si="101"/>
        <v>0</v>
      </c>
      <c r="AA313" s="18"/>
      <c r="AB313" t="s">
        <v>560</v>
      </c>
      <c r="AC313" t="s">
        <v>561</v>
      </c>
      <c r="AD313" t="s">
        <v>189</v>
      </c>
      <c r="AE313" t="s">
        <v>555</v>
      </c>
      <c r="AF313" t="s">
        <v>190</v>
      </c>
      <c r="AG313" t="s">
        <v>554</v>
      </c>
      <c r="AH313" t="s">
        <v>285</v>
      </c>
    </row>
    <row r="314" spans="2:34" x14ac:dyDescent="0.2">
      <c r="B314" s="5">
        <v>12</v>
      </c>
      <c r="C314" s="5">
        <v>1</v>
      </c>
      <c r="D314" s="4">
        <f t="shared" ref="D314:D345" si="109">IF(B314&lt;=$G$3,1,0)</f>
        <v>0</v>
      </c>
      <c r="E314" s="4">
        <f t="shared" si="106"/>
        <v>0</v>
      </c>
      <c r="F314" s="4">
        <f>'入力シート（2事業場以降）'!AR400</f>
        <v>0</v>
      </c>
      <c r="G314" s="42">
        <f>'入力シート（2事業場以降）'!J400</f>
        <v>0</v>
      </c>
      <c r="H314" s="42">
        <f>'入力シート（2事業場以降）'!L400</f>
        <v>0</v>
      </c>
      <c r="I314" s="42">
        <v>0</v>
      </c>
      <c r="J314" s="14">
        <f t="shared" si="105"/>
        <v>0</v>
      </c>
      <c r="K314" s="14">
        <f t="shared" si="98"/>
        <v>0</v>
      </c>
      <c r="L314" s="14">
        <f t="shared" si="99"/>
        <v>0</v>
      </c>
      <c r="M314" s="56">
        <f t="shared" si="107"/>
        <v>0</v>
      </c>
      <c r="N314" s="4">
        <f>IF(AND(入力シート!$F$22&gt;=中間シート!B314,'入力シート（2事業場以降）'!AR172=1),1,0)</f>
        <v>0</v>
      </c>
      <c r="W314" s="41" t="str">
        <f t="shared" ca="1" si="108"/>
        <v>OK</v>
      </c>
      <c r="X314" t="str">
        <f t="shared" ca="1" si="100"/>
        <v>OK</v>
      </c>
      <c r="Y314">
        <f t="shared" si="104"/>
        <v>0</v>
      </c>
      <c r="Z314">
        <f t="shared" si="101"/>
        <v>0</v>
      </c>
      <c r="AA314" t="s">
        <v>557</v>
      </c>
      <c r="AB314" t="s">
        <v>560</v>
      </c>
      <c r="AC314" t="s">
        <v>561</v>
      </c>
      <c r="AD314" t="s">
        <v>189</v>
      </c>
      <c r="AE314" t="s">
        <v>555</v>
      </c>
      <c r="AF314" t="s">
        <v>190</v>
      </c>
      <c r="AG314" t="s">
        <v>554</v>
      </c>
      <c r="AH314" t="s">
        <v>285</v>
      </c>
    </row>
    <row r="315" spans="2:34" x14ac:dyDescent="0.2">
      <c r="B315" s="5">
        <v>12</v>
      </c>
      <c r="C315" s="5">
        <v>2</v>
      </c>
      <c r="D315" s="4">
        <f t="shared" si="109"/>
        <v>0</v>
      </c>
      <c r="E315" s="4">
        <f t="shared" si="106"/>
        <v>0</v>
      </c>
      <c r="F315" s="4">
        <f>'入力シート（2事業場以降）'!AR402</f>
        <v>0</v>
      </c>
      <c r="G315" s="42">
        <f>'入力シート（2事業場以降）'!J402</f>
        <v>0</v>
      </c>
      <c r="H315" s="42">
        <f>'入力シート（2事業場以降）'!L402</f>
        <v>0</v>
      </c>
      <c r="I315" s="42">
        <v>0</v>
      </c>
      <c r="J315" s="14">
        <f t="shared" si="105"/>
        <v>0</v>
      </c>
      <c r="K315" s="14">
        <f t="shared" si="98"/>
        <v>0</v>
      </c>
      <c r="L315" s="14">
        <f t="shared" si="99"/>
        <v>0</v>
      </c>
      <c r="M315" s="56">
        <f t="shared" si="107"/>
        <v>0</v>
      </c>
      <c r="N315" s="4">
        <f>IF(AND(入力シート!$F$22&gt;=中間シート!B315,'入力シート（2事業場以降）'!AR174=1),1,0)</f>
        <v>0</v>
      </c>
      <c r="W315" s="41" t="str">
        <f t="shared" ca="1" si="108"/>
        <v>OK</v>
      </c>
      <c r="X315" t="str">
        <f t="shared" ca="1" si="100"/>
        <v>OK</v>
      </c>
      <c r="Y315">
        <f t="shared" si="104"/>
        <v>0</v>
      </c>
      <c r="Z315">
        <f t="shared" si="101"/>
        <v>0</v>
      </c>
      <c r="AA315" s="18"/>
      <c r="AB315" t="s">
        <v>560</v>
      </c>
      <c r="AC315" t="s">
        <v>561</v>
      </c>
      <c r="AD315" t="s">
        <v>189</v>
      </c>
      <c r="AE315" t="s">
        <v>555</v>
      </c>
      <c r="AF315" t="s">
        <v>190</v>
      </c>
      <c r="AG315" t="s">
        <v>554</v>
      </c>
      <c r="AH315" t="s">
        <v>285</v>
      </c>
    </row>
    <row r="316" spans="2:34" x14ac:dyDescent="0.2">
      <c r="B316" s="5">
        <v>12</v>
      </c>
      <c r="C316" s="5">
        <v>3</v>
      </c>
      <c r="D316" s="4">
        <f t="shared" si="109"/>
        <v>0</v>
      </c>
      <c r="E316" s="4">
        <f t="shared" si="106"/>
        <v>0</v>
      </c>
      <c r="F316" s="4">
        <f>'入力シート（2事業場以降）'!AR404</f>
        <v>0</v>
      </c>
      <c r="G316" s="42">
        <f>'入力シート（2事業場以降）'!J404</f>
        <v>0</v>
      </c>
      <c r="H316" s="42">
        <f>'入力シート（2事業場以降）'!L404</f>
        <v>0</v>
      </c>
      <c r="I316" s="42">
        <v>0</v>
      </c>
      <c r="J316" s="14">
        <f t="shared" si="105"/>
        <v>0</v>
      </c>
      <c r="K316" s="14">
        <f t="shared" si="98"/>
        <v>0</v>
      </c>
      <c r="L316" s="14">
        <f t="shared" si="99"/>
        <v>0</v>
      </c>
      <c r="M316" s="56">
        <f t="shared" si="107"/>
        <v>0</v>
      </c>
      <c r="N316" s="4">
        <f>IF(AND(入力シート!$F$22&gt;=中間シート!B316,'入力シート（2事業場以降）'!AR176=1),1,0)</f>
        <v>0</v>
      </c>
      <c r="W316" s="41" t="str">
        <f t="shared" ca="1" si="108"/>
        <v>OK</v>
      </c>
      <c r="X316" t="str">
        <f t="shared" ca="1" si="100"/>
        <v>OK</v>
      </c>
      <c r="Y316">
        <f t="shared" si="104"/>
        <v>0</v>
      </c>
      <c r="Z316">
        <f t="shared" si="101"/>
        <v>0</v>
      </c>
      <c r="AA316" s="18"/>
      <c r="AB316" t="s">
        <v>560</v>
      </c>
      <c r="AC316" t="s">
        <v>561</v>
      </c>
      <c r="AD316" t="s">
        <v>189</v>
      </c>
      <c r="AE316" t="s">
        <v>555</v>
      </c>
      <c r="AF316" t="s">
        <v>190</v>
      </c>
      <c r="AG316" t="s">
        <v>554</v>
      </c>
      <c r="AH316" t="s">
        <v>285</v>
      </c>
    </row>
    <row r="317" spans="2:34" x14ac:dyDescent="0.2">
      <c r="B317" s="5">
        <v>13</v>
      </c>
      <c r="C317" s="5">
        <v>1</v>
      </c>
      <c r="D317" s="4">
        <f t="shared" si="109"/>
        <v>0</v>
      </c>
      <c r="E317" s="4">
        <f t="shared" si="106"/>
        <v>0</v>
      </c>
      <c r="F317" s="4">
        <f>'入力シート（2事業場以降）'!AR407</f>
        <v>0</v>
      </c>
      <c r="G317" s="42">
        <f>'入力シート（2事業場以降）'!J407</f>
        <v>0</v>
      </c>
      <c r="H317" s="42">
        <f>'入力シート（2事業場以降）'!L407</f>
        <v>0</v>
      </c>
      <c r="I317" s="42">
        <v>0</v>
      </c>
      <c r="J317" s="14">
        <f t="shared" si="105"/>
        <v>0</v>
      </c>
      <c r="K317" s="14">
        <f t="shared" si="98"/>
        <v>0</v>
      </c>
      <c r="L317" s="14">
        <f t="shared" si="99"/>
        <v>0</v>
      </c>
      <c r="M317" s="56">
        <f t="shared" si="107"/>
        <v>0</v>
      </c>
      <c r="N317" s="4">
        <f>IF(AND(入力シート!$F$22&gt;=中間シート!B317,'入力シート（2事業場以降）'!AR179=1),1,0)</f>
        <v>0</v>
      </c>
      <c r="W317" s="41" t="str">
        <f t="shared" ca="1" si="108"/>
        <v>OK</v>
      </c>
      <c r="X317" t="str">
        <f t="shared" ca="1" si="100"/>
        <v>OK</v>
      </c>
      <c r="Y317">
        <f t="shared" si="104"/>
        <v>0</v>
      </c>
      <c r="Z317">
        <f t="shared" si="101"/>
        <v>0</v>
      </c>
      <c r="AA317" t="s">
        <v>557</v>
      </c>
      <c r="AB317" t="s">
        <v>560</v>
      </c>
      <c r="AC317" t="s">
        <v>561</v>
      </c>
      <c r="AD317" t="s">
        <v>189</v>
      </c>
      <c r="AE317" t="s">
        <v>555</v>
      </c>
      <c r="AF317" t="s">
        <v>190</v>
      </c>
      <c r="AG317" t="s">
        <v>554</v>
      </c>
      <c r="AH317" t="s">
        <v>285</v>
      </c>
    </row>
    <row r="318" spans="2:34" x14ac:dyDescent="0.2">
      <c r="B318" s="5">
        <v>13</v>
      </c>
      <c r="C318" s="5">
        <v>2</v>
      </c>
      <c r="D318" s="4">
        <f t="shared" si="109"/>
        <v>0</v>
      </c>
      <c r="E318" s="4">
        <f t="shared" si="106"/>
        <v>0</v>
      </c>
      <c r="F318" s="4">
        <f>'入力シート（2事業場以降）'!AR409</f>
        <v>0</v>
      </c>
      <c r="G318" s="42">
        <f>'入力シート（2事業場以降）'!J409</f>
        <v>0</v>
      </c>
      <c r="H318" s="42">
        <f>'入力シート（2事業場以降）'!L409</f>
        <v>0</v>
      </c>
      <c r="I318" s="42">
        <v>0</v>
      </c>
      <c r="J318" s="14">
        <f t="shared" si="105"/>
        <v>0</v>
      </c>
      <c r="K318" s="14">
        <f t="shared" si="98"/>
        <v>0</v>
      </c>
      <c r="L318" s="14">
        <f t="shared" si="99"/>
        <v>0</v>
      </c>
      <c r="M318" s="56">
        <f t="shared" si="107"/>
        <v>0</v>
      </c>
      <c r="N318" s="4">
        <f>IF(AND(入力シート!$F$22&gt;=中間シート!B318,'入力シート（2事業場以降）'!AR181=1),1,0)</f>
        <v>0</v>
      </c>
      <c r="W318" s="41" t="str">
        <f t="shared" ca="1" si="108"/>
        <v>OK</v>
      </c>
      <c r="X318" t="str">
        <f t="shared" ca="1" si="100"/>
        <v>OK</v>
      </c>
      <c r="Y318">
        <f t="shared" si="104"/>
        <v>0</v>
      </c>
      <c r="Z318">
        <f t="shared" si="101"/>
        <v>0</v>
      </c>
      <c r="AA318" s="18"/>
      <c r="AB318" t="s">
        <v>560</v>
      </c>
      <c r="AC318" t="s">
        <v>561</v>
      </c>
      <c r="AD318" t="s">
        <v>189</v>
      </c>
      <c r="AE318" t="s">
        <v>555</v>
      </c>
      <c r="AF318" t="s">
        <v>190</v>
      </c>
      <c r="AG318" t="s">
        <v>554</v>
      </c>
      <c r="AH318" t="s">
        <v>285</v>
      </c>
    </row>
    <row r="319" spans="2:34" x14ac:dyDescent="0.2">
      <c r="B319" s="5">
        <v>13</v>
      </c>
      <c r="C319" s="5">
        <v>3</v>
      </c>
      <c r="D319" s="4">
        <f t="shared" si="109"/>
        <v>0</v>
      </c>
      <c r="E319" s="4">
        <f t="shared" si="106"/>
        <v>0</v>
      </c>
      <c r="F319" s="4">
        <f>'入力シート（2事業場以降）'!AR411</f>
        <v>0</v>
      </c>
      <c r="G319" s="42">
        <f>'入力シート（2事業場以降）'!J411</f>
        <v>0</v>
      </c>
      <c r="H319" s="42">
        <f>'入力シート（2事業場以降）'!L411</f>
        <v>0</v>
      </c>
      <c r="I319" s="42">
        <v>0</v>
      </c>
      <c r="J319" s="14">
        <f t="shared" si="105"/>
        <v>0</v>
      </c>
      <c r="K319" s="14">
        <f t="shared" si="98"/>
        <v>0</v>
      </c>
      <c r="L319" s="14">
        <f t="shared" si="99"/>
        <v>0</v>
      </c>
      <c r="M319" s="56">
        <f t="shared" si="107"/>
        <v>0</v>
      </c>
      <c r="N319" s="4">
        <f>IF(AND(入力シート!$F$22&gt;=中間シート!B319,'入力シート（2事業場以降）'!AR183=1),1,0)</f>
        <v>0</v>
      </c>
      <c r="W319" s="41" t="str">
        <f t="shared" ca="1" si="108"/>
        <v>OK</v>
      </c>
      <c r="X319" t="str">
        <f t="shared" ca="1" si="100"/>
        <v>OK</v>
      </c>
      <c r="Y319">
        <f t="shared" si="104"/>
        <v>0</v>
      </c>
      <c r="Z319">
        <f t="shared" si="101"/>
        <v>0</v>
      </c>
      <c r="AA319" s="18"/>
      <c r="AB319" t="s">
        <v>560</v>
      </c>
      <c r="AC319" t="s">
        <v>561</v>
      </c>
      <c r="AD319" t="s">
        <v>189</v>
      </c>
      <c r="AE319" t="s">
        <v>555</v>
      </c>
      <c r="AF319" t="s">
        <v>190</v>
      </c>
      <c r="AG319" t="s">
        <v>554</v>
      </c>
      <c r="AH319" t="s">
        <v>285</v>
      </c>
    </row>
    <row r="320" spans="2:34" x14ac:dyDescent="0.2">
      <c r="B320" s="5">
        <v>14</v>
      </c>
      <c r="C320" s="5">
        <v>1</v>
      </c>
      <c r="D320" s="4">
        <f t="shared" si="109"/>
        <v>0</v>
      </c>
      <c r="E320" s="4">
        <f t="shared" si="106"/>
        <v>0</v>
      </c>
      <c r="F320" s="4">
        <f>'入力シート（2事業場以降）'!AR414</f>
        <v>0</v>
      </c>
      <c r="G320" s="42">
        <f>'入力シート（2事業場以降）'!J414</f>
        <v>0</v>
      </c>
      <c r="H320" s="42">
        <f>'入力シート（2事業場以降）'!L414</f>
        <v>0</v>
      </c>
      <c r="I320" s="42">
        <v>0</v>
      </c>
      <c r="J320" s="14">
        <f t="shared" si="105"/>
        <v>0</v>
      </c>
      <c r="K320" s="14">
        <f t="shared" si="98"/>
        <v>0</v>
      </c>
      <c r="L320" s="14">
        <f t="shared" si="99"/>
        <v>0</v>
      </c>
      <c r="M320" s="56">
        <f t="shared" si="107"/>
        <v>0</v>
      </c>
      <c r="N320" s="4">
        <f>IF(AND(入力シート!$F$22&gt;=中間シート!B320,'入力シート（2事業場以降）'!AR186=1),1,0)</f>
        <v>0</v>
      </c>
      <c r="W320" s="41" t="str">
        <f t="shared" ca="1" si="108"/>
        <v>OK</v>
      </c>
      <c r="X320" t="str">
        <f t="shared" ca="1" si="100"/>
        <v>OK</v>
      </c>
      <c r="Y320">
        <f t="shared" si="104"/>
        <v>0</v>
      </c>
      <c r="Z320">
        <f t="shared" si="101"/>
        <v>0</v>
      </c>
      <c r="AA320" t="s">
        <v>557</v>
      </c>
      <c r="AB320" t="s">
        <v>560</v>
      </c>
      <c r="AC320" t="s">
        <v>561</v>
      </c>
      <c r="AD320" t="s">
        <v>189</v>
      </c>
      <c r="AE320" t="s">
        <v>555</v>
      </c>
      <c r="AF320" t="s">
        <v>190</v>
      </c>
      <c r="AG320" t="s">
        <v>554</v>
      </c>
      <c r="AH320" t="s">
        <v>285</v>
      </c>
    </row>
    <row r="321" spans="2:34" x14ac:dyDescent="0.2">
      <c r="B321" s="5">
        <v>14</v>
      </c>
      <c r="C321" s="5">
        <v>2</v>
      </c>
      <c r="D321" s="4">
        <f t="shared" si="109"/>
        <v>0</v>
      </c>
      <c r="E321" s="4">
        <f t="shared" si="106"/>
        <v>0</v>
      </c>
      <c r="F321" s="4">
        <f>'入力シート（2事業場以降）'!AR416</f>
        <v>0</v>
      </c>
      <c r="G321" s="42">
        <f>'入力シート（2事業場以降）'!J416</f>
        <v>0</v>
      </c>
      <c r="H321" s="42">
        <f>'入力シート（2事業場以降）'!L416</f>
        <v>0</v>
      </c>
      <c r="I321" s="42">
        <v>0</v>
      </c>
      <c r="J321" s="14">
        <f t="shared" si="105"/>
        <v>0</v>
      </c>
      <c r="K321" s="14">
        <f t="shared" si="98"/>
        <v>0</v>
      </c>
      <c r="L321" s="14">
        <f t="shared" si="99"/>
        <v>0</v>
      </c>
      <c r="M321" s="56">
        <f t="shared" si="107"/>
        <v>0</v>
      </c>
      <c r="N321" s="4">
        <f>IF(AND(入力シート!$F$22&gt;=中間シート!B321,'入力シート（2事業場以降）'!AR188=1),1,0)</f>
        <v>0</v>
      </c>
      <c r="W321" s="41" t="str">
        <f t="shared" ca="1" si="108"/>
        <v>OK</v>
      </c>
      <c r="X321" t="str">
        <f t="shared" ca="1" si="100"/>
        <v>OK</v>
      </c>
      <c r="Y321">
        <f t="shared" si="104"/>
        <v>0</v>
      </c>
      <c r="Z321">
        <f t="shared" si="101"/>
        <v>0</v>
      </c>
      <c r="AA321" s="18"/>
      <c r="AB321" t="s">
        <v>560</v>
      </c>
      <c r="AC321" t="s">
        <v>561</v>
      </c>
      <c r="AD321" t="s">
        <v>189</v>
      </c>
      <c r="AE321" t="s">
        <v>555</v>
      </c>
      <c r="AF321" t="s">
        <v>190</v>
      </c>
      <c r="AG321" t="s">
        <v>554</v>
      </c>
      <c r="AH321" t="s">
        <v>285</v>
      </c>
    </row>
    <row r="322" spans="2:34" x14ac:dyDescent="0.2">
      <c r="B322" s="5">
        <v>14</v>
      </c>
      <c r="C322" s="5">
        <v>3</v>
      </c>
      <c r="D322" s="4">
        <f t="shared" si="109"/>
        <v>0</v>
      </c>
      <c r="E322" s="4">
        <f t="shared" si="106"/>
        <v>0</v>
      </c>
      <c r="F322" s="4">
        <f>'入力シート（2事業場以降）'!AR418</f>
        <v>0</v>
      </c>
      <c r="G322" s="42">
        <f>'入力シート（2事業場以降）'!J418</f>
        <v>0</v>
      </c>
      <c r="H322" s="42">
        <f>'入力シート（2事業場以降）'!L418</f>
        <v>0</v>
      </c>
      <c r="I322" s="42">
        <v>0</v>
      </c>
      <c r="J322" s="14">
        <f t="shared" si="105"/>
        <v>0</v>
      </c>
      <c r="K322" s="14">
        <f t="shared" si="98"/>
        <v>0</v>
      </c>
      <c r="L322" s="14">
        <f t="shared" si="99"/>
        <v>0</v>
      </c>
      <c r="M322" s="56">
        <f t="shared" si="107"/>
        <v>0</v>
      </c>
      <c r="N322" s="4">
        <f>IF(AND(入力シート!$F$22&gt;=中間シート!B322,'入力シート（2事業場以降）'!AR190=1),1,0)</f>
        <v>0</v>
      </c>
      <c r="W322" s="41" t="str">
        <f t="shared" ca="1" si="108"/>
        <v>OK</v>
      </c>
      <c r="X322" t="str">
        <f t="shared" ca="1" si="100"/>
        <v>OK</v>
      </c>
      <c r="Y322">
        <f t="shared" si="104"/>
        <v>0</v>
      </c>
      <c r="Z322">
        <f t="shared" si="101"/>
        <v>0</v>
      </c>
      <c r="AA322" s="18"/>
      <c r="AB322" t="s">
        <v>560</v>
      </c>
      <c r="AC322" t="s">
        <v>561</v>
      </c>
      <c r="AD322" t="s">
        <v>189</v>
      </c>
      <c r="AE322" t="s">
        <v>555</v>
      </c>
      <c r="AF322" t="s">
        <v>190</v>
      </c>
      <c r="AG322" t="s">
        <v>554</v>
      </c>
      <c r="AH322" t="s">
        <v>285</v>
      </c>
    </row>
    <row r="323" spans="2:34" x14ac:dyDescent="0.2">
      <c r="B323" s="5">
        <v>15</v>
      </c>
      <c r="C323" s="5">
        <v>1</v>
      </c>
      <c r="D323" s="4">
        <f t="shared" si="109"/>
        <v>0</v>
      </c>
      <c r="E323" s="4">
        <f t="shared" si="106"/>
        <v>0</v>
      </c>
      <c r="F323" s="4">
        <f>'入力シート（2事業場以降）'!AR421</f>
        <v>0</v>
      </c>
      <c r="G323" s="42">
        <f>'入力シート（2事業場以降）'!J421</f>
        <v>0</v>
      </c>
      <c r="H323" s="42">
        <f>'入力シート（2事業場以降）'!L421</f>
        <v>0</v>
      </c>
      <c r="I323" s="42">
        <v>0</v>
      </c>
      <c r="J323" s="14">
        <f t="shared" si="105"/>
        <v>0</v>
      </c>
      <c r="K323" s="14">
        <f t="shared" si="98"/>
        <v>0</v>
      </c>
      <c r="L323" s="14">
        <f t="shared" si="99"/>
        <v>0</v>
      </c>
      <c r="M323" s="56">
        <f t="shared" si="107"/>
        <v>0</v>
      </c>
      <c r="N323" s="4">
        <f>IF(AND(入力シート!$F$22&gt;=中間シート!B323,'入力シート（2事業場以降）'!AR193=1),1,0)</f>
        <v>0</v>
      </c>
      <c r="W323" s="41" t="str">
        <f t="shared" ca="1" si="108"/>
        <v>OK</v>
      </c>
      <c r="X323" t="str">
        <f t="shared" ca="1" si="100"/>
        <v>OK</v>
      </c>
      <c r="Y323">
        <f t="shared" si="104"/>
        <v>0</v>
      </c>
      <c r="Z323">
        <f t="shared" si="101"/>
        <v>0</v>
      </c>
      <c r="AA323" t="s">
        <v>557</v>
      </c>
      <c r="AB323" t="s">
        <v>560</v>
      </c>
      <c r="AC323" t="s">
        <v>561</v>
      </c>
      <c r="AD323" t="s">
        <v>189</v>
      </c>
      <c r="AE323" t="s">
        <v>555</v>
      </c>
      <c r="AF323" t="s">
        <v>190</v>
      </c>
      <c r="AG323" t="s">
        <v>554</v>
      </c>
      <c r="AH323" t="s">
        <v>285</v>
      </c>
    </row>
    <row r="324" spans="2:34" x14ac:dyDescent="0.2">
      <c r="B324" s="5">
        <v>15</v>
      </c>
      <c r="C324" s="5">
        <v>2</v>
      </c>
      <c r="D324" s="4">
        <f t="shared" si="109"/>
        <v>0</v>
      </c>
      <c r="E324" s="4">
        <f t="shared" si="106"/>
        <v>0</v>
      </c>
      <c r="F324" s="4">
        <f>'入力シート（2事業場以降）'!AR423</f>
        <v>0</v>
      </c>
      <c r="G324" s="42">
        <f>'入力シート（2事業場以降）'!J423</f>
        <v>0</v>
      </c>
      <c r="H324" s="42">
        <f>'入力シート（2事業場以降）'!L423</f>
        <v>0</v>
      </c>
      <c r="I324" s="42">
        <v>0</v>
      </c>
      <c r="J324" s="14">
        <f t="shared" si="105"/>
        <v>0</v>
      </c>
      <c r="K324" s="14">
        <f t="shared" si="98"/>
        <v>0</v>
      </c>
      <c r="L324" s="14">
        <f t="shared" si="99"/>
        <v>0</v>
      </c>
      <c r="M324" s="56">
        <f t="shared" si="107"/>
        <v>0</v>
      </c>
      <c r="N324" s="4">
        <f>IF(AND(入力シート!$F$22&gt;=中間シート!B324,'入力シート（2事業場以降）'!AR195=1),1,0)</f>
        <v>0</v>
      </c>
      <c r="W324" s="41" t="str">
        <f t="shared" ca="1" si="108"/>
        <v>OK</v>
      </c>
      <c r="X324" t="str">
        <f t="shared" ca="1" si="100"/>
        <v>OK</v>
      </c>
      <c r="Y324">
        <f t="shared" si="104"/>
        <v>0</v>
      </c>
      <c r="Z324">
        <f t="shared" si="101"/>
        <v>0</v>
      </c>
      <c r="AA324" s="18"/>
      <c r="AB324" t="s">
        <v>560</v>
      </c>
      <c r="AC324" t="s">
        <v>561</v>
      </c>
      <c r="AD324" t="s">
        <v>189</v>
      </c>
      <c r="AE324" t="s">
        <v>555</v>
      </c>
      <c r="AF324" t="s">
        <v>190</v>
      </c>
      <c r="AG324" t="s">
        <v>554</v>
      </c>
      <c r="AH324" t="s">
        <v>285</v>
      </c>
    </row>
    <row r="325" spans="2:34" x14ac:dyDescent="0.2">
      <c r="B325" s="5">
        <v>15</v>
      </c>
      <c r="C325" s="5">
        <v>3</v>
      </c>
      <c r="D325" s="4">
        <f t="shared" si="109"/>
        <v>0</v>
      </c>
      <c r="E325" s="4">
        <f t="shared" si="106"/>
        <v>0</v>
      </c>
      <c r="F325" s="4">
        <f>'入力シート（2事業場以降）'!AR425</f>
        <v>0</v>
      </c>
      <c r="G325" s="42">
        <f>'入力シート（2事業場以降）'!J425</f>
        <v>0</v>
      </c>
      <c r="H325" s="42">
        <f>'入力シート（2事業場以降）'!L425</f>
        <v>0</v>
      </c>
      <c r="I325" s="42">
        <v>0</v>
      </c>
      <c r="J325" s="14">
        <f t="shared" si="105"/>
        <v>0</v>
      </c>
      <c r="K325" s="14">
        <f t="shared" si="98"/>
        <v>0</v>
      </c>
      <c r="L325" s="14">
        <f t="shared" si="99"/>
        <v>0</v>
      </c>
      <c r="M325" s="56">
        <f t="shared" si="107"/>
        <v>0</v>
      </c>
      <c r="N325" s="4">
        <f>IF(AND(入力シート!$F$22&gt;=中間シート!B325,'入力シート（2事業場以降）'!AR197=1),1,0)</f>
        <v>0</v>
      </c>
      <c r="W325" s="41" t="str">
        <f t="shared" ca="1" si="108"/>
        <v>OK</v>
      </c>
      <c r="X325" t="str">
        <f t="shared" ca="1" si="100"/>
        <v>OK</v>
      </c>
      <c r="Y325">
        <f t="shared" si="104"/>
        <v>0</v>
      </c>
      <c r="Z325">
        <f t="shared" si="101"/>
        <v>0</v>
      </c>
      <c r="AA325" s="18"/>
      <c r="AB325" t="s">
        <v>560</v>
      </c>
      <c r="AC325" t="s">
        <v>561</v>
      </c>
      <c r="AD325" t="s">
        <v>189</v>
      </c>
      <c r="AE325" t="s">
        <v>555</v>
      </c>
      <c r="AF325" t="s">
        <v>190</v>
      </c>
      <c r="AG325" t="s">
        <v>554</v>
      </c>
      <c r="AH325" t="s">
        <v>285</v>
      </c>
    </row>
    <row r="326" spans="2:34" x14ac:dyDescent="0.2">
      <c r="B326" s="5">
        <v>16</v>
      </c>
      <c r="C326" s="5">
        <v>1</v>
      </c>
      <c r="D326" s="4">
        <f t="shared" si="109"/>
        <v>0</v>
      </c>
      <c r="E326" s="4">
        <f t="shared" si="106"/>
        <v>0</v>
      </c>
      <c r="F326" s="4">
        <f>'入力シート（2事業場以降）'!AR428</f>
        <v>0</v>
      </c>
      <c r="G326" s="42">
        <f>'入力シート（2事業場以降）'!J428</f>
        <v>0</v>
      </c>
      <c r="H326" s="42">
        <f>'入力シート（2事業場以降）'!L428</f>
        <v>0</v>
      </c>
      <c r="I326" s="42">
        <v>0</v>
      </c>
      <c r="J326" s="14">
        <f t="shared" si="105"/>
        <v>0</v>
      </c>
      <c r="K326" s="14">
        <f t="shared" si="98"/>
        <v>0</v>
      </c>
      <c r="L326" s="14">
        <f t="shared" si="99"/>
        <v>0</v>
      </c>
      <c r="M326" s="56">
        <f t="shared" si="107"/>
        <v>0</v>
      </c>
      <c r="N326" s="4">
        <f>IF(AND(入力シート!$F$22&gt;=中間シート!B326,'入力シート（2事業場以降）'!AR200=1),1,0)</f>
        <v>0</v>
      </c>
      <c r="W326" s="41" t="str">
        <f t="shared" ca="1" si="108"/>
        <v>OK</v>
      </c>
      <c r="X326" t="str">
        <f t="shared" ca="1" si="100"/>
        <v>OK</v>
      </c>
      <c r="Y326">
        <f t="shared" si="104"/>
        <v>0</v>
      </c>
      <c r="Z326">
        <f t="shared" si="101"/>
        <v>0</v>
      </c>
      <c r="AA326" t="s">
        <v>557</v>
      </c>
      <c r="AB326" t="s">
        <v>560</v>
      </c>
      <c r="AC326" t="s">
        <v>561</v>
      </c>
      <c r="AD326" t="s">
        <v>189</v>
      </c>
      <c r="AE326" t="s">
        <v>555</v>
      </c>
      <c r="AF326" t="s">
        <v>190</v>
      </c>
      <c r="AG326" t="s">
        <v>554</v>
      </c>
      <c r="AH326" t="s">
        <v>285</v>
      </c>
    </row>
    <row r="327" spans="2:34" x14ac:dyDescent="0.2">
      <c r="B327" s="5">
        <v>16</v>
      </c>
      <c r="C327" s="5">
        <v>2</v>
      </c>
      <c r="D327" s="4">
        <f t="shared" si="109"/>
        <v>0</v>
      </c>
      <c r="E327" s="4">
        <f t="shared" si="106"/>
        <v>0</v>
      </c>
      <c r="F327" s="4">
        <f>'入力シート（2事業場以降）'!AR430</f>
        <v>0</v>
      </c>
      <c r="G327" s="42">
        <f>'入力シート（2事業場以降）'!J430</f>
        <v>0</v>
      </c>
      <c r="H327" s="42">
        <f>'入力シート（2事業場以降）'!L430</f>
        <v>0</v>
      </c>
      <c r="I327" s="42">
        <v>0</v>
      </c>
      <c r="J327" s="14">
        <f t="shared" si="105"/>
        <v>0</v>
      </c>
      <c r="K327" s="14">
        <f t="shared" si="98"/>
        <v>0</v>
      </c>
      <c r="L327" s="14">
        <f t="shared" si="99"/>
        <v>0</v>
      </c>
      <c r="M327" s="56">
        <f t="shared" si="107"/>
        <v>0</v>
      </c>
      <c r="N327" s="4">
        <f>IF(AND(入力シート!$F$22&gt;=中間シート!B327,'入力シート（2事業場以降）'!AR202=1),1,0)</f>
        <v>0</v>
      </c>
      <c r="W327" s="41" t="str">
        <f t="shared" ca="1" si="108"/>
        <v>OK</v>
      </c>
      <c r="X327" t="str">
        <f t="shared" ca="1" si="100"/>
        <v>OK</v>
      </c>
      <c r="Y327">
        <f t="shared" si="104"/>
        <v>0</v>
      </c>
      <c r="Z327">
        <f t="shared" si="101"/>
        <v>0</v>
      </c>
      <c r="AA327" s="18"/>
      <c r="AB327" t="s">
        <v>560</v>
      </c>
      <c r="AC327" t="s">
        <v>561</v>
      </c>
      <c r="AD327" t="s">
        <v>189</v>
      </c>
      <c r="AE327" t="s">
        <v>555</v>
      </c>
      <c r="AF327" t="s">
        <v>190</v>
      </c>
      <c r="AG327" t="s">
        <v>554</v>
      </c>
      <c r="AH327" t="s">
        <v>285</v>
      </c>
    </row>
    <row r="328" spans="2:34" x14ac:dyDescent="0.2">
      <c r="B328" s="5">
        <v>16</v>
      </c>
      <c r="C328" s="5">
        <v>3</v>
      </c>
      <c r="D328" s="4">
        <f t="shared" si="109"/>
        <v>0</v>
      </c>
      <c r="E328" s="4">
        <f t="shared" si="106"/>
        <v>0</v>
      </c>
      <c r="F328" s="4">
        <f>'入力シート（2事業場以降）'!AR432</f>
        <v>0</v>
      </c>
      <c r="G328" s="42">
        <f>'入力シート（2事業場以降）'!J432</f>
        <v>0</v>
      </c>
      <c r="H328" s="42">
        <f>'入力シート（2事業場以降）'!L432</f>
        <v>0</v>
      </c>
      <c r="I328" s="42">
        <v>0</v>
      </c>
      <c r="J328" s="14">
        <f t="shared" si="105"/>
        <v>0</v>
      </c>
      <c r="K328" s="14">
        <f t="shared" si="98"/>
        <v>0</v>
      </c>
      <c r="L328" s="14">
        <f t="shared" si="99"/>
        <v>0</v>
      </c>
      <c r="M328" s="56">
        <f t="shared" si="107"/>
        <v>0</v>
      </c>
      <c r="N328" s="4">
        <f>IF(AND(入力シート!$F$22&gt;=中間シート!B328,'入力シート（2事業場以降）'!AR204=1),1,0)</f>
        <v>0</v>
      </c>
      <c r="W328" s="41" t="str">
        <f t="shared" ca="1" si="108"/>
        <v>OK</v>
      </c>
      <c r="X328" t="str">
        <f t="shared" ca="1" si="100"/>
        <v>OK</v>
      </c>
      <c r="Y328">
        <f t="shared" si="104"/>
        <v>0</v>
      </c>
      <c r="Z328">
        <f t="shared" si="101"/>
        <v>0</v>
      </c>
      <c r="AA328" s="18"/>
      <c r="AB328" t="s">
        <v>560</v>
      </c>
      <c r="AC328" t="s">
        <v>561</v>
      </c>
      <c r="AD328" t="s">
        <v>189</v>
      </c>
      <c r="AE328" t="s">
        <v>555</v>
      </c>
      <c r="AF328" t="s">
        <v>190</v>
      </c>
      <c r="AG328" t="s">
        <v>554</v>
      </c>
      <c r="AH328" t="s">
        <v>285</v>
      </c>
    </row>
    <row r="329" spans="2:34" x14ac:dyDescent="0.2">
      <c r="B329" s="5">
        <v>17</v>
      </c>
      <c r="C329" s="5">
        <v>1</v>
      </c>
      <c r="D329" s="4">
        <f t="shared" si="109"/>
        <v>0</v>
      </c>
      <c r="E329" s="4">
        <f t="shared" si="106"/>
        <v>0</v>
      </c>
      <c r="F329" s="4">
        <f>'入力シート（2事業場以降）'!AR435</f>
        <v>0</v>
      </c>
      <c r="G329" s="42">
        <f>'入力シート（2事業場以降）'!J435</f>
        <v>0</v>
      </c>
      <c r="H329" s="42">
        <f>'入力シート（2事業場以降）'!L435</f>
        <v>0</v>
      </c>
      <c r="I329" s="42">
        <v>0</v>
      </c>
      <c r="J329" s="14">
        <f t="shared" si="105"/>
        <v>0</v>
      </c>
      <c r="K329" s="14">
        <f t="shared" si="98"/>
        <v>0</v>
      </c>
      <c r="L329" s="14">
        <f t="shared" si="99"/>
        <v>0</v>
      </c>
      <c r="M329" s="56">
        <f t="shared" si="107"/>
        <v>0</v>
      </c>
      <c r="N329" s="4">
        <f>IF(AND(入力シート!$F$22&gt;=中間シート!B329,'入力シート（2事業場以降）'!AR207=1),1,0)</f>
        <v>0</v>
      </c>
      <c r="W329" s="41" t="str">
        <f t="shared" ca="1" si="108"/>
        <v>OK</v>
      </c>
      <c r="X329" t="str">
        <f t="shared" ca="1" si="100"/>
        <v>OK</v>
      </c>
      <c r="Y329">
        <f t="shared" si="104"/>
        <v>0</v>
      </c>
      <c r="Z329">
        <f t="shared" si="101"/>
        <v>0</v>
      </c>
      <c r="AA329" t="s">
        <v>557</v>
      </c>
      <c r="AB329" t="s">
        <v>560</v>
      </c>
      <c r="AC329" t="s">
        <v>561</v>
      </c>
      <c r="AD329" t="s">
        <v>189</v>
      </c>
      <c r="AE329" t="s">
        <v>555</v>
      </c>
      <c r="AF329" t="s">
        <v>190</v>
      </c>
      <c r="AG329" t="s">
        <v>554</v>
      </c>
      <c r="AH329" t="s">
        <v>285</v>
      </c>
    </row>
    <row r="330" spans="2:34" x14ac:dyDescent="0.2">
      <c r="B330" s="5">
        <v>17</v>
      </c>
      <c r="C330" s="5">
        <v>2</v>
      </c>
      <c r="D330" s="4">
        <f t="shared" si="109"/>
        <v>0</v>
      </c>
      <c r="E330" s="4">
        <f t="shared" si="106"/>
        <v>0</v>
      </c>
      <c r="F330" s="4">
        <f>'入力シート（2事業場以降）'!AR437</f>
        <v>0</v>
      </c>
      <c r="G330" s="42">
        <f>'入力シート（2事業場以降）'!J437</f>
        <v>0</v>
      </c>
      <c r="H330" s="42">
        <f>'入力シート（2事業場以降）'!L437</f>
        <v>0</v>
      </c>
      <c r="I330" s="42">
        <v>0</v>
      </c>
      <c r="J330" s="14">
        <f t="shared" si="105"/>
        <v>0</v>
      </c>
      <c r="K330" s="14">
        <f t="shared" si="98"/>
        <v>0</v>
      </c>
      <c r="L330" s="14">
        <f t="shared" si="99"/>
        <v>0</v>
      </c>
      <c r="M330" s="56">
        <f t="shared" si="107"/>
        <v>0</v>
      </c>
      <c r="N330" s="4">
        <f>IF(AND(入力シート!$F$22&gt;=中間シート!B330,'入力シート（2事業場以降）'!AR209=1),1,0)</f>
        <v>0</v>
      </c>
      <c r="W330" s="41" t="str">
        <f t="shared" ca="1" si="108"/>
        <v>OK</v>
      </c>
      <c r="X330" t="str">
        <f t="shared" ca="1" si="100"/>
        <v>OK</v>
      </c>
      <c r="Y330">
        <f t="shared" si="104"/>
        <v>0</v>
      </c>
      <c r="Z330">
        <f t="shared" si="101"/>
        <v>0</v>
      </c>
      <c r="AA330" s="18"/>
      <c r="AB330" t="s">
        <v>560</v>
      </c>
      <c r="AC330" t="s">
        <v>561</v>
      </c>
      <c r="AD330" t="s">
        <v>189</v>
      </c>
      <c r="AE330" t="s">
        <v>555</v>
      </c>
      <c r="AF330" t="s">
        <v>190</v>
      </c>
      <c r="AG330" t="s">
        <v>554</v>
      </c>
      <c r="AH330" t="s">
        <v>285</v>
      </c>
    </row>
    <row r="331" spans="2:34" x14ac:dyDescent="0.2">
      <c r="B331" s="5">
        <v>17</v>
      </c>
      <c r="C331" s="5">
        <v>3</v>
      </c>
      <c r="D331" s="4">
        <f t="shared" si="109"/>
        <v>0</v>
      </c>
      <c r="E331" s="4">
        <f t="shared" si="106"/>
        <v>0</v>
      </c>
      <c r="F331" s="4">
        <f>'入力シート（2事業場以降）'!AR439</f>
        <v>0</v>
      </c>
      <c r="G331" s="42">
        <f>'入力シート（2事業場以降）'!J439</f>
        <v>0</v>
      </c>
      <c r="H331" s="42">
        <f>'入力シート（2事業場以降）'!L439</f>
        <v>0</v>
      </c>
      <c r="I331" s="42">
        <v>0</v>
      </c>
      <c r="J331" s="14">
        <f t="shared" si="105"/>
        <v>0</v>
      </c>
      <c r="K331" s="14">
        <f t="shared" si="98"/>
        <v>0</v>
      </c>
      <c r="L331" s="14">
        <f t="shared" si="99"/>
        <v>0</v>
      </c>
      <c r="M331" s="56">
        <f t="shared" si="107"/>
        <v>0</v>
      </c>
      <c r="N331" s="4">
        <f>IF(AND(入力シート!$F$22&gt;=中間シート!B331,'入力シート（2事業場以降）'!AR211=1),1,0)</f>
        <v>0</v>
      </c>
      <c r="W331" s="41" t="str">
        <f t="shared" ca="1" si="108"/>
        <v>OK</v>
      </c>
      <c r="X331" t="str">
        <f t="shared" ca="1" si="100"/>
        <v>OK</v>
      </c>
      <c r="Y331">
        <f t="shared" si="104"/>
        <v>0</v>
      </c>
      <c r="Z331">
        <f t="shared" si="101"/>
        <v>0</v>
      </c>
      <c r="AA331" s="18"/>
      <c r="AB331" t="s">
        <v>560</v>
      </c>
      <c r="AC331" t="s">
        <v>561</v>
      </c>
      <c r="AD331" t="s">
        <v>189</v>
      </c>
      <c r="AE331" t="s">
        <v>555</v>
      </c>
      <c r="AF331" t="s">
        <v>190</v>
      </c>
      <c r="AG331" t="s">
        <v>554</v>
      </c>
      <c r="AH331" t="s">
        <v>285</v>
      </c>
    </row>
    <row r="332" spans="2:34" x14ac:dyDescent="0.2">
      <c r="B332" s="5">
        <v>18</v>
      </c>
      <c r="C332" s="5">
        <v>1</v>
      </c>
      <c r="D332" s="4">
        <f t="shared" si="109"/>
        <v>0</v>
      </c>
      <c r="E332" s="4">
        <f t="shared" si="106"/>
        <v>0</v>
      </c>
      <c r="F332" s="4">
        <f>'入力シート（2事業場以降）'!AR442</f>
        <v>0</v>
      </c>
      <c r="G332" s="42">
        <f>'入力シート（2事業場以降）'!J442</f>
        <v>0</v>
      </c>
      <c r="H332" s="42">
        <f>'入力シート（2事業場以降）'!L442</f>
        <v>0</v>
      </c>
      <c r="I332" s="42">
        <v>0</v>
      </c>
      <c r="J332" s="14">
        <f t="shared" si="105"/>
        <v>0</v>
      </c>
      <c r="K332" s="14">
        <f t="shared" si="98"/>
        <v>0</v>
      </c>
      <c r="L332" s="14">
        <f t="shared" si="99"/>
        <v>0</v>
      </c>
      <c r="M332" s="56">
        <f t="shared" si="107"/>
        <v>0</v>
      </c>
      <c r="N332" s="4">
        <f>IF(AND(入力シート!$F$22&gt;=中間シート!B332,'入力シート（2事業場以降）'!AR214=1),1,0)</f>
        <v>0</v>
      </c>
      <c r="W332" s="41" t="str">
        <f t="shared" ca="1" si="108"/>
        <v>OK</v>
      </c>
      <c r="X332" t="str">
        <f t="shared" ca="1" si="100"/>
        <v>OK</v>
      </c>
      <c r="Y332">
        <f t="shared" si="104"/>
        <v>0</v>
      </c>
      <c r="Z332">
        <f t="shared" si="101"/>
        <v>0</v>
      </c>
      <c r="AA332" t="s">
        <v>557</v>
      </c>
      <c r="AB332" t="s">
        <v>560</v>
      </c>
      <c r="AC332" t="s">
        <v>561</v>
      </c>
      <c r="AD332" t="s">
        <v>189</v>
      </c>
      <c r="AE332" t="s">
        <v>555</v>
      </c>
      <c r="AF332" t="s">
        <v>190</v>
      </c>
      <c r="AG332" t="s">
        <v>554</v>
      </c>
      <c r="AH332" t="s">
        <v>285</v>
      </c>
    </row>
    <row r="333" spans="2:34" x14ac:dyDescent="0.2">
      <c r="B333" s="5">
        <v>18</v>
      </c>
      <c r="C333" s="5">
        <v>2</v>
      </c>
      <c r="D333" s="4">
        <f t="shared" si="109"/>
        <v>0</v>
      </c>
      <c r="E333" s="4">
        <f t="shared" si="106"/>
        <v>0</v>
      </c>
      <c r="F333" s="4">
        <f>'入力シート（2事業場以降）'!AR444</f>
        <v>0</v>
      </c>
      <c r="G333" s="42">
        <f>'入力シート（2事業場以降）'!J444</f>
        <v>0</v>
      </c>
      <c r="H333" s="42">
        <f>'入力シート（2事業場以降）'!L444</f>
        <v>0</v>
      </c>
      <c r="I333" s="42">
        <v>0</v>
      </c>
      <c r="J333" s="14">
        <f t="shared" si="105"/>
        <v>0</v>
      </c>
      <c r="K333" s="14">
        <f t="shared" si="98"/>
        <v>0</v>
      </c>
      <c r="L333" s="14">
        <f t="shared" si="99"/>
        <v>0</v>
      </c>
      <c r="M333" s="56">
        <f t="shared" si="107"/>
        <v>0</v>
      </c>
      <c r="N333" s="4">
        <f>IF(AND(入力シート!$F$22&gt;=中間シート!B333,'入力シート（2事業場以降）'!AR216=1),1,0)</f>
        <v>0</v>
      </c>
      <c r="W333" s="41" t="str">
        <f t="shared" ca="1" si="108"/>
        <v>OK</v>
      </c>
      <c r="X333" t="str">
        <f t="shared" ca="1" si="100"/>
        <v>OK</v>
      </c>
      <c r="Y333">
        <f t="shared" si="104"/>
        <v>0</v>
      </c>
      <c r="Z333">
        <f t="shared" si="101"/>
        <v>0</v>
      </c>
      <c r="AA333" s="18"/>
      <c r="AB333" t="s">
        <v>560</v>
      </c>
      <c r="AC333" t="s">
        <v>561</v>
      </c>
      <c r="AD333" t="s">
        <v>189</v>
      </c>
      <c r="AE333" t="s">
        <v>555</v>
      </c>
      <c r="AF333" t="s">
        <v>190</v>
      </c>
      <c r="AG333" t="s">
        <v>554</v>
      </c>
      <c r="AH333" t="s">
        <v>285</v>
      </c>
    </row>
    <row r="334" spans="2:34" x14ac:dyDescent="0.2">
      <c r="B334" s="5">
        <v>18</v>
      </c>
      <c r="C334" s="5">
        <v>3</v>
      </c>
      <c r="D334" s="4">
        <f t="shared" si="109"/>
        <v>0</v>
      </c>
      <c r="E334" s="4">
        <f t="shared" si="106"/>
        <v>0</v>
      </c>
      <c r="F334" s="4">
        <f>'入力シート（2事業場以降）'!AR446</f>
        <v>0</v>
      </c>
      <c r="G334" s="42">
        <f>'入力シート（2事業場以降）'!J446</f>
        <v>0</v>
      </c>
      <c r="H334" s="42">
        <f>'入力シート（2事業場以降）'!L446</f>
        <v>0</v>
      </c>
      <c r="I334" s="42">
        <v>0</v>
      </c>
      <c r="J334" s="14">
        <f t="shared" si="105"/>
        <v>0</v>
      </c>
      <c r="K334" s="14">
        <f t="shared" si="98"/>
        <v>0</v>
      </c>
      <c r="L334" s="14">
        <f t="shared" si="99"/>
        <v>0</v>
      </c>
      <c r="M334" s="56">
        <f t="shared" si="107"/>
        <v>0</v>
      </c>
      <c r="N334" s="4">
        <f>IF(AND(入力シート!$F$22&gt;=中間シート!B334,'入力シート（2事業場以降）'!AR218=1),1,0)</f>
        <v>0</v>
      </c>
      <c r="W334" s="41" t="str">
        <f t="shared" ca="1" si="108"/>
        <v>OK</v>
      </c>
      <c r="X334" t="str">
        <f t="shared" ca="1" si="100"/>
        <v>OK</v>
      </c>
      <c r="Y334">
        <f t="shared" si="104"/>
        <v>0</v>
      </c>
      <c r="Z334">
        <f t="shared" si="101"/>
        <v>0</v>
      </c>
      <c r="AA334" s="18"/>
      <c r="AB334" t="s">
        <v>560</v>
      </c>
      <c r="AC334" t="s">
        <v>561</v>
      </c>
      <c r="AD334" t="s">
        <v>189</v>
      </c>
      <c r="AE334" t="s">
        <v>555</v>
      </c>
      <c r="AF334" t="s">
        <v>190</v>
      </c>
      <c r="AG334" t="s">
        <v>554</v>
      </c>
      <c r="AH334" t="s">
        <v>285</v>
      </c>
    </row>
    <row r="335" spans="2:34" x14ac:dyDescent="0.2">
      <c r="B335" s="5">
        <v>19</v>
      </c>
      <c r="C335" s="5">
        <v>1</v>
      </c>
      <c r="D335" s="4">
        <f t="shared" si="109"/>
        <v>0</v>
      </c>
      <c r="E335" s="4">
        <f t="shared" si="106"/>
        <v>0</v>
      </c>
      <c r="F335" s="4">
        <f>'入力シート（2事業場以降）'!AR449</f>
        <v>0</v>
      </c>
      <c r="G335" s="42">
        <f>'入力シート（2事業場以降）'!J449</f>
        <v>0</v>
      </c>
      <c r="H335" s="42">
        <f>'入力シート（2事業場以降）'!L449</f>
        <v>0</v>
      </c>
      <c r="I335" s="42">
        <v>0</v>
      </c>
      <c r="J335" s="14">
        <f t="shared" si="105"/>
        <v>0</v>
      </c>
      <c r="K335" s="14">
        <f t="shared" si="98"/>
        <v>0</v>
      </c>
      <c r="L335" s="14">
        <f t="shared" si="99"/>
        <v>0</v>
      </c>
      <c r="M335" s="56">
        <f t="shared" si="107"/>
        <v>0</v>
      </c>
      <c r="N335" s="4">
        <f>IF(AND(入力シート!$F$22&gt;=中間シート!B335,'入力シート（2事業場以降）'!AR221=1),1,0)</f>
        <v>0</v>
      </c>
      <c r="W335" s="41" t="str">
        <f t="shared" ca="1" si="108"/>
        <v>OK</v>
      </c>
      <c r="X335" t="str">
        <f t="shared" ca="1" si="100"/>
        <v>OK</v>
      </c>
      <c r="Y335">
        <f t="shared" si="104"/>
        <v>0</v>
      </c>
      <c r="Z335">
        <f t="shared" si="101"/>
        <v>0</v>
      </c>
      <c r="AA335" t="s">
        <v>557</v>
      </c>
      <c r="AB335" t="s">
        <v>560</v>
      </c>
      <c r="AC335" t="s">
        <v>561</v>
      </c>
      <c r="AD335" t="s">
        <v>189</v>
      </c>
      <c r="AE335" t="s">
        <v>555</v>
      </c>
      <c r="AF335" t="s">
        <v>190</v>
      </c>
      <c r="AG335" t="s">
        <v>554</v>
      </c>
      <c r="AH335" t="s">
        <v>285</v>
      </c>
    </row>
    <row r="336" spans="2:34" x14ac:dyDescent="0.2">
      <c r="B336" s="5">
        <v>19</v>
      </c>
      <c r="C336" s="5">
        <v>2</v>
      </c>
      <c r="D336" s="4">
        <f t="shared" si="109"/>
        <v>0</v>
      </c>
      <c r="E336" s="4">
        <f t="shared" si="106"/>
        <v>0</v>
      </c>
      <c r="F336" s="4">
        <f>'入力シート（2事業場以降）'!AR451</f>
        <v>0</v>
      </c>
      <c r="G336" s="42">
        <f>'入力シート（2事業場以降）'!J451</f>
        <v>0</v>
      </c>
      <c r="H336" s="42">
        <f>'入力シート（2事業場以降）'!L451</f>
        <v>0</v>
      </c>
      <c r="I336" s="42">
        <v>0</v>
      </c>
      <c r="J336" s="14">
        <f t="shared" si="105"/>
        <v>0</v>
      </c>
      <c r="K336" s="14">
        <f t="shared" si="98"/>
        <v>0</v>
      </c>
      <c r="L336" s="14">
        <f t="shared" si="99"/>
        <v>0</v>
      </c>
      <c r="M336" s="56">
        <f t="shared" si="107"/>
        <v>0</v>
      </c>
      <c r="N336" s="4">
        <f>IF(AND(入力シート!$F$22&gt;=中間シート!B336,'入力シート（2事業場以降）'!AR223=1),1,0)</f>
        <v>0</v>
      </c>
      <c r="W336" s="41" t="str">
        <f t="shared" ca="1" si="108"/>
        <v>OK</v>
      </c>
      <c r="X336" t="str">
        <f t="shared" ca="1" si="100"/>
        <v>OK</v>
      </c>
      <c r="Y336">
        <f t="shared" si="104"/>
        <v>0</v>
      </c>
      <c r="Z336">
        <f t="shared" si="101"/>
        <v>0</v>
      </c>
      <c r="AA336" s="18"/>
      <c r="AB336" t="s">
        <v>560</v>
      </c>
      <c r="AC336" t="s">
        <v>561</v>
      </c>
      <c r="AD336" t="s">
        <v>189</v>
      </c>
      <c r="AE336" t="s">
        <v>555</v>
      </c>
      <c r="AF336" t="s">
        <v>190</v>
      </c>
      <c r="AG336" t="s">
        <v>554</v>
      </c>
      <c r="AH336" t="s">
        <v>285</v>
      </c>
    </row>
    <row r="337" spans="2:34" x14ac:dyDescent="0.2">
      <c r="B337" s="5">
        <v>19</v>
      </c>
      <c r="C337" s="5">
        <v>3</v>
      </c>
      <c r="D337" s="4">
        <f t="shared" si="109"/>
        <v>0</v>
      </c>
      <c r="E337" s="4">
        <f t="shared" si="106"/>
        <v>0</v>
      </c>
      <c r="F337" s="4">
        <f>'入力シート（2事業場以降）'!AR453</f>
        <v>0</v>
      </c>
      <c r="G337" s="42">
        <f>'入力シート（2事業場以降）'!J453</f>
        <v>0</v>
      </c>
      <c r="H337" s="42">
        <f>'入力シート（2事業場以降）'!L453</f>
        <v>0</v>
      </c>
      <c r="I337" s="42">
        <v>0</v>
      </c>
      <c r="J337" s="14">
        <f t="shared" si="105"/>
        <v>0</v>
      </c>
      <c r="K337" s="14">
        <f t="shared" si="98"/>
        <v>0</v>
      </c>
      <c r="L337" s="14">
        <f t="shared" si="99"/>
        <v>0</v>
      </c>
      <c r="M337" s="56">
        <f t="shared" si="107"/>
        <v>0</v>
      </c>
      <c r="N337" s="4">
        <f>IF(AND(入力シート!$F$22&gt;=中間シート!B337,'入力シート（2事業場以降）'!AR225=1),1,0)</f>
        <v>0</v>
      </c>
      <c r="W337" s="41" t="str">
        <f t="shared" ca="1" si="108"/>
        <v>OK</v>
      </c>
      <c r="X337" t="str">
        <f t="shared" ca="1" si="100"/>
        <v>OK</v>
      </c>
      <c r="Y337">
        <f t="shared" si="104"/>
        <v>0</v>
      </c>
      <c r="Z337">
        <f t="shared" si="101"/>
        <v>0</v>
      </c>
      <c r="AA337" s="18"/>
      <c r="AB337" t="s">
        <v>560</v>
      </c>
      <c r="AC337" t="s">
        <v>561</v>
      </c>
      <c r="AD337" t="s">
        <v>189</v>
      </c>
      <c r="AE337" t="s">
        <v>555</v>
      </c>
      <c r="AF337" t="s">
        <v>190</v>
      </c>
      <c r="AG337" t="s">
        <v>554</v>
      </c>
      <c r="AH337" t="s">
        <v>285</v>
      </c>
    </row>
    <row r="338" spans="2:34" x14ac:dyDescent="0.2">
      <c r="B338" s="5">
        <v>20</v>
      </c>
      <c r="C338" s="5">
        <v>1</v>
      </c>
      <c r="D338" s="4">
        <f t="shared" si="109"/>
        <v>0</v>
      </c>
      <c r="E338" s="4">
        <f t="shared" si="106"/>
        <v>0</v>
      </c>
      <c r="F338" s="4">
        <f>'入力シート（2事業場以降）'!AR456</f>
        <v>0</v>
      </c>
      <c r="G338" s="42">
        <f>'入力シート（2事業場以降）'!J456</f>
        <v>0</v>
      </c>
      <c r="H338" s="42">
        <f>'入力シート（2事業場以降）'!L456</f>
        <v>0</v>
      </c>
      <c r="I338" s="42">
        <v>0</v>
      </c>
      <c r="J338" s="14">
        <f t="shared" si="105"/>
        <v>0</v>
      </c>
      <c r="K338" s="14">
        <f t="shared" si="98"/>
        <v>0</v>
      </c>
      <c r="L338" s="14">
        <f t="shared" si="99"/>
        <v>0</v>
      </c>
      <c r="M338" s="56">
        <f t="shared" si="107"/>
        <v>0</v>
      </c>
      <c r="N338" s="4">
        <f>IF(AND(入力シート!$F$22&gt;=中間シート!B338,'入力シート（2事業場以降）'!AR228=1),1,0)</f>
        <v>0</v>
      </c>
      <c r="W338" s="41" t="str">
        <f t="shared" ca="1" si="108"/>
        <v>OK</v>
      </c>
      <c r="X338" t="str">
        <f t="shared" ca="1" si="100"/>
        <v>OK</v>
      </c>
      <c r="Y338">
        <f t="shared" si="104"/>
        <v>0</v>
      </c>
      <c r="Z338">
        <f t="shared" si="101"/>
        <v>0</v>
      </c>
      <c r="AA338" t="s">
        <v>557</v>
      </c>
      <c r="AB338" t="s">
        <v>560</v>
      </c>
      <c r="AC338" t="s">
        <v>561</v>
      </c>
      <c r="AD338" t="s">
        <v>189</v>
      </c>
      <c r="AE338" t="s">
        <v>555</v>
      </c>
      <c r="AF338" t="s">
        <v>190</v>
      </c>
      <c r="AG338" t="s">
        <v>554</v>
      </c>
      <c r="AH338" t="s">
        <v>285</v>
      </c>
    </row>
    <row r="339" spans="2:34" x14ac:dyDescent="0.2">
      <c r="B339" s="5">
        <v>20</v>
      </c>
      <c r="C339" s="5">
        <v>2</v>
      </c>
      <c r="D339" s="4">
        <f t="shared" si="109"/>
        <v>0</v>
      </c>
      <c r="E339" s="4">
        <f t="shared" si="106"/>
        <v>0</v>
      </c>
      <c r="F339" s="4">
        <f>'入力シート（2事業場以降）'!AR458</f>
        <v>0</v>
      </c>
      <c r="G339" s="42">
        <f>'入力シート（2事業場以降）'!J458</f>
        <v>0</v>
      </c>
      <c r="H339" s="42">
        <f>'入力シート（2事業場以降）'!L458</f>
        <v>0</v>
      </c>
      <c r="I339" s="42">
        <v>0</v>
      </c>
      <c r="J339" s="14">
        <f t="shared" si="105"/>
        <v>0</v>
      </c>
      <c r="K339" s="14">
        <f t="shared" si="98"/>
        <v>0</v>
      </c>
      <c r="L339" s="14">
        <f t="shared" si="99"/>
        <v>0</v>
      </c>
      <c r="M339" s="56">
        <f t="shared" si="107"/>
        <v>0</v>
      </c>
      <c r="N339" s="4">
        <f>IF(AND(入力シート!$F$22&gt;=中間シート!B339,'入力シート（2事業場以降）'!AR230=1),1,0)</f>
        <v>0</v>
      </c>
      <c r="W339" s="41" t="str">
        <f t="shared" ca="1" si="108"/>
        <v>OK</v>
      </c>
      <c r="X339" t="str">
        <f t="shared" ca="1" si="100"/>
        <v>OK</v>
      </c>
      <c r="Y339">
        <f t="shared" si="104"/>
        <v>0</v>
      </c>
      <c r="Z339">
        <f t="shared" si="101"/>
        <v>0</v>
      </c>
      <c r="AA339" s="18"/>
      <c r="AB339" t="s">
        <v>560</v>
      </c>
      <c r="AC339" t="s">
        <v>561</v>
      </c>
      <c r="AD339" t="s">
        <v>189</v>
      </c>
      <c r="AE339" t="s">
        <v>555</v>
      </c>
      <c r="AF339" t="s">
        <v>190</v>
      </c>
      <c r="AG339" t="s">
        <v>554</v>
      </c>
      <c r="AH339" t="s">
        <v>285</v>
      </c>
    </row>
    <row r="340" spans="2:34" x14ac:dyDescent="0.2">
      <c r="B340" s="5">
        <v>20</v>
      </c>
      <c r="C340" s="5">
        <v>3</v>
      </c>
      <c r="D340" s="4">
        <f t="shared" si="109"/>
        <v>0</v>
      </c>
      <c r="E340" s="4">
        <f t="shared" si="106"/>
        <v>0</v>
      </c>
      <c r="F340" s="4">
        <f>'入力シート（2事業場以降）'!AR460</f>
        <v>0</v>
      </c>
      <c r="G340" s="42">
        <f>'入力シート（2事業場以降）'!J460</f>
        <v>0</v>
      </c>
      <c r="H340" s="42">
        <f>'入力シート（2事業場以降）'!L460</f>
        <v>0</v>
      </c>
      <c r="I340" s="42">
        <v>0</v>
      </c>
      <c r="J340" s="14">
        <f t="shared" si="105"/>
        <v>0</v>
      </c>
      <c r="K340" s="14">
        <f t="shared" si="98"/>
        <v>0</v>
      </c>
      <c r="L340" s="14">
        <f t="shared" si="99"/>
        <v>0</v>
      </c>
      <c r="M340" s="56">
        <f t="shared" si="107"/>
        <v>0</v>
      </c>
      <c r="N340" s="4">
        <f>IF(AND(入力シート!$F$22&gt;=中間シート!B340,'入力シート（2事業場以降）'!AR232=1),1,0)</f>
        <v>0</v>
      </c>
      <c r="W340" s="41" t="str">
        <f t="shared" ca="1" si="108"/>
        <v>OK</v>
      </c>
      <c r="X340" t="str">
        <f t="shared" ca="1" si="100"/>
        <v>OK</v>
      </c>
      <c r="Y340">
        <f t="shared" si="104"/>
        <v>0</v>
      </c>
      <c r="Z340">
        <f t="shared" si="101"/>
        <v>0</v>
      </c>
      <c r="AA340" s="18"/>
      <c r="AB340" t="s">
        <v>560</v>
      </c>
      <c r="AC340" t="s">
        <v>561</v>
      </c>
      <c r="AD340" t="s">
        <v>189</v>
      </c>
      <c r="AE340" t="s">
        <v>555</v>
      </c>
      <c r="AF340" t="s">
        <v>190</v>
      </c>
      <c r="AG340" t="s">
        <v>554</v>
      </c>
      <c r="AH340" t="s">
        <v>285</v>
      </c>
    </row>
    <row r="341" spans="2:34" x14ac:dyDescent="0.2">
      <c r="B341" s="5">
        <v>21</v>
      </c>
      <c r="C341" s="5">
        <v>1</v>
      </c>
      <c r="D341" s="4">
        <f t="shared" si="109"/>
        <v>0</v>
      </c>
      <c r="E341" s="4">
        <f t="shared" si="106"/>
        <v>0</v>
      </c>
      <c r="F341" s="4">
        <f>'入力シート（2事業場以降）'!AR463</f>
        <v>0</v>
      </c>
      <c r="G341" s="42">
        <f>'入力シート（2事業場以降）'!J463</f>
        <v>0</v>
      </c>
      <c r="H341" s="42">
        <f>'入力シート（2事業場以降）'!L463</f>
        <v>0</v>
      </c>
      <c r="I341" s="42">
        <v>0</v>
      </c>
      <c r="J341" s="14">
        <f t="shared" si="105"/>
        <v>0</v>
      </c>
      <c r="K341" s="14">
        <f t="shared" si="98"/>
        <v>0</v>
      </c>
      <c r="L341" s="14">
        <f t="shared" si="99"/>
        <v>0</v>
      </c>
      <c r="M341" s="56">
        <f t="shared" si="107"/>
        <v>0</v>
      </c>
      <c r="N341" s="4">
        <f>IF(AND(入力シート!$F$22&gt;=中間シート!B341,'入力シート（2事業場以降）'!AR235=1),1,0)</f>
        <v>0</v>
      </c>
      <c r="W341" s="41" t="str">
        <f t="shared" ca="1" si="108"/>
        <v>OK</v>
      </c>
      <c r="X341" t="str">
        <f t="shared" ca="1" si="100"/>
        <v>OK</v>
      </c>
      <c r="Y341">
        <f t="shared" si="104"/>
        <v>0</v>
      </c>
      <c r="Z341">
        <f t="shared" si="101"/>
        <v>0</v>
      </c>
      <c r="AA341" t="s">
        <v>557</v>
      </c>
      <c r="AB341" t="s">
        <v>560</v>
      </c>
      <c r="AC341" t="s">
        <v>561</v>
      </c>
      <c r="AD341" t="s">
        <v>189</v>
      </c>
      <c r="AE341" t="s">
        <v>555</v>
      </c>
      <c r="AF341" t="s">
        <v>190</v>
      </c>
      <c r="AG341" t="s">
        <v>554</v>
      </c>
      <c r="AH341" t="s">
        <v>285</v>
      </c>
    </row>
    <row r="342" spans="2:34" x14ac:dyDescent="0.2">
      <c r="B342" s="5">
        <v>21</v>
      </c>
      <c r="C342" s="5">
        <v>2</v>
      </c>
      <c r="D342" s="4">
        <f t="shared" si="109"/>
        <v>0</v>
      </c>
      <c r="E342" s="4">
        <f t="shared" si="106"/>
        <v>0</v>
      </c>
      <c r="F342" s="4">
        <f>'入力シート（2事業場以降）'!AR465</f>
        <v>0</v>
      </c>
      <c r="G342" s="42">
        <f>'入力シート（2事業場以降）'!J465</f>
        <v>0</v>
      </c>
      <c r="H342" s="42">
        <f>'入力シート（2事業場以降）'!L465</f>
        <v>0</v>
      </c>
      <c r="I342" s="42">
        <v>0</v>
      </c>
      <c r="J342" s="14">
        <f t="shared" si="105"/>
        <v>0</v>
      </c>
      <c r="K342" s="14">
        <f t="shared" si="98"/>
        <v>0</v>
      </c>
      <c r="L342" s="14">
        <f t="shared" si="99"/>
        <v>0</v>
      </c>
      <c r="M342" s="56">
        <f t="shared" si="107"/>
        <v>0</v>
      </c>
      <c r="N342" s="4">
        <f>IF(AND(入力シート!$F$22&gt;=中間シート!B342,'入力シート（2事業場以降）'!AR237=1),1,0)</f>
        <v>0</v>
      </c>
      <c r="W342" s="41" t="str">
        <f t="shared" ca="1" si="108"/>
        <v>OK</v>
      </c>
      <c r="X342" t="str">
        <f t="shared" ca="1" si="100"/>
        <v>OK</v>
      </c>
      <c r="Y342">
        <f t="shared" si="104"/>
        <v>0</v>
      </c>
      <c r="Z342">
        <f t="shared" si="101"/>
        <v>0</v>
      </c>
      <c r="AA342" s="18"/>
      <c r="AB342" t="s">
        <v>560</v>
      </c>
      <c r="AC342" t="s">
        <v>561</v>
      </c>
      <c r="AD342" t="s">
        <v>189</v>
      </c>
      <c r="AE342" t="s">
        <v>555</v>
      </c>
      <c r="AF342" t="s">
        <v>190</v>
      </c>
      <c r="AG342" t="s">
        <v>554</v>
      </c>
      <c r="AH342" t="s">
        <v>285</v>
      </c>
    </row>
    <row r="343" spans="2:34" x14ac:dyDescent="0.2">
      <c r="B343" s="5">
        <v>21</v>
      </c>
      <c r="C343" s="5">
        <v>3</v>
      </c>
      <c r="D343" s="4">
        <f t="shared" si="109"/>
        <v>0</v>
      </c>
      <c r="E343" s="4">
        <f t="shared" si="106"/>
        <v>0</v>
      </c>
      <c r="F343" s="4">
        <f>'入力シート（2事業場以降）'!AR467</f>
        <v>0</v>
      </c>
      <c r="G343" s="42">
        <f>'入力シート（2事業場以降）'!J467</f>
        <v>0</v>
      </c>
      <c r="H343" s="42">
        <f>'入力シート（2事業場以降）'!L467</f>
        <v>0</v>
      </c>
      <c r="I343" s="42">
        <v>0</v>
      </c>
      <c r="J343" s="14">
        <f t="shared" si="105"/>
        <v>0</v>
      </c>
      <c r="K343" s="14">
        <f t="shared" si="98"/>
        <v>0</v>
      </c>
      <c r="L343" s="14">
        <f t="shared" si="99"/>
        <v>0</v>
      </c>
      <c r="M343" s="56">
        <f t="shared" si="107"/>
        <v>0</v>
      </c>
      <c r="N343" s="4">
        <f>IF(AND(入力シート!$F$22&gt;=中間シート!B343,'入力シート（2事業場以降）'!AR239=1),1,0)</f>
        <v>0</v>
      </c>
      <c r="W343" s="41" t="str">
        <f t="shared" ca="1" si="108"/>
        <v>OK</v>
      </c>
      <c r="X343" t="str">
        <f t="shared" ca="1" si="100"/>
        <v>OK</v>
      </c>
      <c r="Y343">
        <f t="shared" si="104"/>
        <v>0</v>
      </c>
      <c r="Z343">
        <f t="shared" si="101"/>
        <v>0</v>
      </c>
      <c r="AA343" s="18"/>
      <c r="AB343" t="s">
        <v>560</v>
      </c>
      <c r="AC343" t="s">
        <v>561</v>
      </c>
      <c r="AD343" t="s">
        <v>189</v>
      </c>
      <c r="AE343" t="s">
        <v>555</v>
      </c>
      <c r="AF343" t="s">
        <v>190</v>
      </c>
      <c r="AG343" t="s">
        <v>554</v>
      </c>
      <c r="AH343" t="s">
        <v>285</v>
      </c>
    </row>
    <row r="344" spans="2:34" x14ac:dyDescent="0.2">
      <c r="B344" s="5">
        <v>22</v>
      </c>
      <c r="C344" s="5">
        <v>1</v>
      </c>
      <c r="D344" s="4">
        <f t="shared" si="109"/>
        <v>0</v>
      </c>
      <c r="E344" s="4">
        <f t="shared" si="106"/>
        <v>0</v>
      </c>
      <c r="F344" s="4">
        <f>'入力シート（2事業場以降）'!AR470</f>
        <v>0</v>
      </c>
      <c r="G344" s="42">
        <f>'入力シート（2事業場以降）'!J470</f>
        <v>0</v>
      </c>
      <c r="H344" s="42">
        <f>'入力シート（2事業場以降）'!L470</f>
        <v>0</v>
      </c>
      <c r="I344" s="42">
        <v>0</v>
      </c>
      <c r="J344" s="14">
        <f t="shared" si="105"/>
        <v>0</v>
      </c>
      <c r="K344" s="14">
        <f t="shared" si="98"/>
        <v>0</v>
      </c>
      <c r="L344" s="14">
        <f t="shared" si="99"/>
        <v>0</v>
      </c>
      <c r="M344" s="56">
        <f t="shared" si="107"/>
        <v>0</v>
      </c>
      <c r="N344" s="4">
        <f>IF(AND(入力シート!$F$22&gt;=中間シート!B344,'入力シート（2事業場以降）'!AR242=1),1,0)</f>
        <v>0</v>
      </c>
      <c r="W344" s="41" t="str">
        <f t="shared" ca="1" si="108"/>
        <v>OK</v>
      </c>
      <c r="X344" t="str">
        <f t="shared" ca="1" si="100"/>
        <v>OK</v>
      </c>
      <c r="Y344">
        <f t="shared" si="104"/>
        <v>0</v>
      </c>
      <c r="Z344">
        <f t="shared" si="101"/>
        <v>0</v>
      </c>
      <c r="AA344" t="s">
        <v>557</v>
      </c>
      <c r="AB344" t="s">
        <v>560</v>
      </c>
      <c r="AC344" t="s">
        <v>561</v>
      </c>
      <c r="AD344" t="s">
        <v>189</v>
      </c>
      <c r="AE344" t="s">
        <v>555</v>
      </c>
      <c r="AF344" t="s">
        <v>190</v>
      </c>
      <c r="AG344" t="s">
        <v>554</v>
      </c>
      <c r="AH344" t="s">
        <v>285</v>
      </c>
    </row>
    <row r="345" spans="2:34" x14ac:dyDescent="0.2">
      <c r="B345" s="5">
        <v>22</v>
      </c>
      <c r="C345" s="5">
        <v>2</v>
      </c>
      <c r="D345" s="4">
        <f t="shared" si="109"/>
        <v>0</v>
      </c>
      <c r="E345" s="4">
        <f t="shared" ref="E345:E370" si="110">IF(AND(D345=1,Y251=0,Z251=0),1,0)</f>
        <v>0</v>
      </c>
      <c r="F345" s="4">
        <f>'入力シート（2事業場以降）'!AR472</f>
        <v>0</v>
      </c>
      <c r="G345" s="42">
        <f>'入力シート（2事業場以降）'!J472</f>
        <v>0</v>
      </c>
      <c r="H345" s="42">
        <f>'入力シート（2事業場以降）'!L472</f>
        <v>0</v>
      </c>
      <c r="I345" s="42">
        <v>0</v>
      </c>
      <c r="J345" s="14">
        <f t="shared" si="105"/>
        <v>0</v>
      </c>
      <c r="K345" s="14">
        <f t="shared" si="98"/>
        <v>0</v>
      </c>
      <c r="L345" s="14">
        <f t="shared" si="99"/>
        <v>0</v>
      </c>
      <c r="M345" s="56">
        <f t="shared" ref="M345:M368" si="111">IF(C345=1,SUM(K345:L347),M344)</f>
        <v>0</v>
      </c>
      <c r="N345" s="4">
        <f>IF(AND(入力シート!$F$22&gt;=中間シート!B345,'入力シート（2事業場以降）'!AR244=1),1,0)</f>
        <v>0</v>
      </c>
      <c r="W345" s="41" t="str">
        <f t="shared" ref="W345:W370" ca="1" si="112">IF(OR(X345=$V$1,X345=""),$V$1,"NG")</f>
        <v>OK</v>
      </c>
      <c r="X345" t="str">
        <f t="shared" ca="1" si="100"/>
        <v>OK</v>
      </c>
      <c r="Y345">
        <f t="shared" si="104"/>
        <v>0</v>
      </c>
      <c r="Z345">
        <f t="shared" si="101"/>
        <v>0</v>
      </c>
      <c r="AA345" s="18"/>
      <c r="AB345" t="s">
        <v>560</v>
      </c>
      <c r="AC345" t="s">
        <v>561</v>
      </c>
      <c r="AD345" t="s">
        <v>189</v>
      </c>
      <c r="AE345" t="s">
        <v>555</v>
      </c>
      <c r="AF345" t="s">
        <v>190</v>
      </c>
      <c r="AG345" t="s">
        <v>554</v>
      </c>
      <c r="AH345" t="s">
        <v>285</v>
      </c>
    </row>
    <row r="346" spans="2:34" x14ac:dyDescent="0.2">
      <c r="B346" s="5">
        <v>22</v>
      </c>
      <c r="C346" s="5">
        <v>3</v>
      </c>
      <c r="D346" s="4">
        <f t="shared" ref="D346:D370" si="113">IF(B346&lt;=$G$3,1,0)</f>
        <v>0</v>
      </c>
      <c r="E346" s="4">
        <f t="shared" si="110"/>
        <v>0</v>
      </c>
      <c r="F346" s="4">
        <f>'入力シート（2事業場以降）'!AR474</f>
        <v>0</v>
      </c>
      <c r="G346" s="42">
        <f>'入力シート（2事業場以降）'!J474</f>
        <v>0</v>
      </c>
      <c r="H346" s="42">
        <f>'入力シート（2事業場以降）'!L474</f>
        <v>0</v>
      </c>
      <c r="I346" s="42">
        <v>0</v>
      </c>
      <c r="J346" s="14">
        <f t="shared" si="105"/>
        <v>0</v>
      </c>
      <c r="K346" s="14">
        <f t="shared" ref="K346:K370" si="114">IF(N346=1,0,IF(E346=1,H346,0))</f>
        <v>0</v>
      </c>
      <c r="L346" s="14">
        <f t="shared" ref="L346:L370" si="115">IF(N346=1,I346,IF(OR(P252="①",P252="②",E346=0),0,I346))</f>
        <v>0</v>
      </c>
      <c r="M346" s="56">
        <f t="shared" si="111"/>
        <v>0</v>
      </c>
      <c r="N346" s="4">
        <f>IF(AND(入力シート!$F$22&gt;=中間シート!B346,'入力シート（2事業場以降）'!AR246=1),1,0)</f>
        <v>0</v>
      </c>
      <c r="W346" s="41" t="str">
        <f t="shared" ca="1" si="112"/>
        <v>OK</v>
      </c>
      <c r="X346" t="str">
        <f t="shared" ref="X346:X370" ca="1" si="116">IF(Y346&lt;&gt;0,OFFSET(Z346,0,Y346),IF(Z346&lt;&gt;0,OFFSET(AE346,0,Z346),$V$1))&amp;""</f>
        <v>OK</v>
      </c>
      <c r="Y346">
        <f t="shared" si="104"/>
        <v>0</v>
      </c>
      <c r="Z346">
        <f t="shared" ref="Z346:Z370" si="117">IF(J346&lt;(K346+L346),1,IF(AND(E346=1,M346&lt;300),2,0))</f>
        <v>0</v>
      </c>
      <c r="AA346" s="18"/>
      <c r="AB346" t="s">
        <v>560</v>
      </c>
      <c r="AC346" t="s">
        <v>561</v>
      </c>
      <c r="AD346" t="s">
        <v>189</v>
      </c>
      <c r="AE346" t="s">
        <v>555</v>
      </c>
      <c r="AF346" t="s">
        <v>190</v>
      </c>
      <c r="AG346" t="s">
        <v>554</v>
      </c>
      <c r="AH346" t="s">
        <v>285</v>
      </c>
    </row>
    <row r="347" spans="2:34" x14ac:dyDescent="0.2">
      <c r="B347" s="5">
        <v>23</v>
      </c>
      <c r="C347" s="5">
        <v>1</v>
      </c>
      <c r="D347" s="4">
        <f t="shared" si="113"/>
        <v>0</v>
      </c>
      <c r="E347" s="4">
        <f t="shared" si="110"/>
        <v>0</v>
      </c>
      <c r="F347" s="4">
        <f>'入力シート（2事業場以降）'!AR477</f>
        <v>0</v>
      </c>
      <c r="G347" s="42">
        <f>'入力シート（2事業場以降）'!J477</f>
        <v>0</v>
      </c>
      <c r="H347" s="42">
        <f>'入力シート（2事業場以降）'!L477</f>
        <v>0</v>
      </c>
      <c r="I347" s="42">
        <v>0</v>
      </c>
      <c r="J347" s="14">
        <f t="shared" si="105"/>
        <v>0</v>
      </c>
      <c r="K347" s="14">
        <f t="shared" si="114"/>
        <v>0</v>
      </c>
      <c r="L347" s="14">
        <f t="shared" si="115"/>
        <v>0</v>
      </c>
      <c r="M347" s="56">
        <f t="shared" si="111"/>
        <v>0</v>
      </c>
      <c r="N347" s="4">
        <f>IF(AND(入力シート!$F$22&gt;=中間シート!B347,'入力シート（2事業場以降）'!AR249=1),1,0)</f>
        <v>0</v>
      </c>
      <c r="W347" s="41" t="str">
        <f t="shared" ca="1" si="112"/>
        <v>OK</v>
      </c>
      <c r="X347" t="str">
        <f t="shared" ca="1" si="116"/>
        <v>OK</v>
      </c>
      <c r="Y347">
        <f t="shared" si="104"/>
        <v>0</v>
      </c>
      <c r="Z347">
        <f t="shared" si="117"/>
        <v>0</v>
      </c>
      <c r="AA347" t="s">
        <v>557</v>
      </c>
      <c r="AB347" t="s">
        <v>560</v>
      </c>
      <c r="AC347" t="s">
        <v>561</v>
      </c>
      <c r="AD347" t="s">
        <v>189</v>
      </c>
      <c r="AE347" t="s">
        <v>555</v>
      </c>
      <c r="AF347" t="s">
        <v>190</v>
      </c>
      <c r="AG347" t="s">
        <v>554</v>
      </c>
      <c r="AH347" t="s">
        <v>285</v>
      </c>
    </row>
    <row r="348" spans="2:34" x14ac:dyDescent="0.2">
      <c r="B348" s="5">
        <v>23</v>
      </c>
      <c r="C348" s="5">
        <v>2</v>
      </c>
      <c r="D348" s="4">
        <f t="shared" si="113"/>
        <v>0</v>
      </c>
      <c r="E348" s="4">
        <f t="shared" si="110"/>
        <v>0</v>
      </c>
      <c r="F348" s="4">
        <f>'入力シート（2事業場以降）'!AR479</f>
        <v>0</v>
      </c>
      <c r="G348" s="42">
        <f>'入力シート（2事業場以降）'!J479</f>
        <v>0</v>
      </c>
      <c r="H348" s="42">
        <f>'入力シート（2事業場以降）'!L479</f>
        <v>0</v>
      </c>
      <c r="I348" s="42">
        <v>0</v>
      </c>
      <c r="J348" s="14">
        <f t="shared" si="105"/>
        <v>0</v>
      </c>
      <c r="K348" s="14">
        <f t="shared" si="114"/>
        <v>0</v>
      </c>
      <c r="L348" s="14">
        <f t="shared" si="115"/>
        <v>0</v>
      </c>
      <c r="M348" s="56">
        <f t="shared" si="111"/>
        <v>0</v>
      </c>
      <c r="N348" s="4">
        <f>IF(AND(入力シート!$F$22&gt;=中間シート!B348,'入力シート（2事業場以降）'!AR251=1),1,0)</f>
        <v>0</v>
      </c>
      <c r="W348" s="41" t="str">
        <f t="shared" ca="1" si="112"/>
        <v>OK</v>
      </c>
      <c r="X348" t="str">
        <f t="shared" ca="1" si="116"/>
        <v>OK</v>
      </c>
      <c r="Y348">
        <f t="shared" si="104"/>
        <v>0</v>
      </c>
      <c r="Z348">
        <f t="shared" si="117"/>
        <v>0</v>
      </c>
      <c r="AA348" s="18"/>
      <c r="AB348" t="s">
        <v>560</v>
      </c>
      <c r="AC348" t="s">
        <v>561</v>
      </c>
      <c r="AD348" t="s">
        <v>189</v>
      </c>
      <c r="AE348" t="s">
        <v>555</v>
      </c>
      <c r="AF348" t="s">
        <v>190</v>
      </c>
      <c r="AG348" t="s">
        <v>554</v>
      </c>
      <c r="AH348" t="s">
        <v>285</v>
      </c>
    </row>
    <row r="349" spans="2:34" x14ac:dyDescent="0.2">
      <c r="B349" s="5">
        <v>23</v>
      </c>
      <c r="C349" s="5">
        <v>3</v>
      </c>
      <c r="D349" s="4">
        <f t="shared" si="113"/>
        <v>0</v>
      </c>
      <c r="E349" s="4">
        <f t="shared" si="110"/>
        <v>0</v>
      </c>
      <c r="F349" s="4">
        <f>'入力シート（2事業場以降）'!AR481</f>
        <v>0</v>
      </c>
      <c r="G349" s="42">
        <f>'入力シート（2事業場以降）'!J481</f>
        <v>0</v>
      </c>
      <c r="H349" s="42">
        <f>'入力シート（2事業場以降）'!L481</f>
        <v>0</v>
      </c>
      <c r="I349" s="42">
        <v>0</v>
      </c>
      <c r="J349" s="14">
        <f t="shared" si="105"/>
        <v>0</v>
      </c>
      <c r="K349" s="14">
        <f t="shared" si="114"/>
        <v>0</v>
      </c>
      <c r="L349" s="14">
        <f t="shared" si="115"/>
        <v>0</v>
      </c>
      <c r="M349" s="56">
        <f t="shared" si="111"/>
        <v>0</v>
      </c>
      <c r="N349" s="4">
        <f>IF(AND(入力シート!$F$22&gt;=中間シート!B349,'入力シート（2事業場以降）'!AR253=1),1,0)</f>
        <v>0</v>
      </c>
      <c r="W349" s="41" t="str">
        <f t="shared" ca="1" si="112"/>
        <v>OK</v>
      </c>
      <c r="X349" t="str">
        <f t="shared" ca="1" si="116"/>
        <v>OK</v>
      </c>
      <c r="Y349">
        <f t="shared" ref="Y349:Y370" si="118">IF(D349=1,IF(OR(E349=0,AND(B349=B348,E348=0)),1,IF(E349=1,IF(F349=0,2,IF(AND(F349=1,J349=0,K349=0),3,IF(AND(F349=1,J349=0),4,IF(AND(K349=0,N349=0),5,IF(AND(L349=0,N349=1),8,0))))))),0)</f>
        <v>0</v>
      </c>
      <c r="Z349">
        <f t="shared" si="117"/>
        <v>0</v>
      </c>
      <c r="AA349" s="18"/>
      <c r="AB349" t="s">
        <v>560</v>
      </c>
      <c r="AC349" t="s">
        <v>561</v>
      </c>
      <c r="AD349" t="s">
        <v>189</v>
      </c>
      <c r="AE349" t="s">
        <v>555</v>
      </c>
      <c r="AF349" t="s">
        <v>190</v>
      </c>
      <c r="AG349" t="s">
        <v>554</v>
      </c>
      <c r="AH349" t="s">
        <v>285</v>
      </c>
    </row>
    <row r="350" spans="2:34" x14ac:dyDescent="0.2">
      <c r="B350" s="5">
        <v>24</v>
      </c>
      <c r="C350" s="5">
        <v>1</v>
      </c>
      <c r="D350" s="4">
        <f t="shared" si="113"/>
        <v>0</v>
      </c>
      <c r="E350" s="4">
        <f t="shared" si="110"/>
        <v>0</v>
      </c>
      <c r="F350" s="4">
        <f>'入力シート（2事業場以降）'!AR484</f>
        <v>0</v>
      </c>
      <c r="G350" s="42">
        <f>'入力シート（2事業場以降）'!J484</f>
        <v>0</v>
      </c>
      <c r="H350" s="42">
        <f>'入力シート（2事業場以降）'!L484</f>
        <v>0</v>
      </c>
      <c r="I350" s="42">
        <v>0</v>
      </c>
      <c r="J350" s="14">
        <f t="shared" si="105"/>
        <v>0</v>
      </c>
      <c r="K350" s="14">
        <f t="shared" si="114"/>
        <v>0</v>
      </c>
      <c r="L350" s="14">
        <f t="shared" si="115"/>
        <v>0</v>
      </c>
      <c r="M350" s="56">
        <f t="shared" si="111"/>
        <v>0</v>
      </c>
      <c r="N350" s="4">
        <f>IF(AND(入力シート!$F$22&gt;=中間シート!B350,'入力シート（2事業場以降）'!AR256=1),1,0)</f>
        <v>0</v>
      </c>
      <c r="W350" s="41" t="str">
        <f t="shared" ca="1" si="112"/>
        <v>OK</v>
      </c>
      <c r="X350" t="str">
        <f t="shared" ca="1" si="116"/>
        <v>OK</v>
      </c>
      <c r="Y350">
        <f t="shared" si="118"/>
        <v>0</v>
      </c>
      <c r="Z350">
        <f t="shared" si="117"/>
        <v>0</v>
      </c>
      <c r="AA350" t="s">
        <v>557</v>
      </c>
      <c r="AB350" t="s">
        <v>560</v>
      </c>
      <c r="AC350" t="s">
        <v>561</v>
      </c>
      <c r="AD350" t="s">
        <v>189</v>
      </c>
      <c r="AE350" t="s">
        <v>555</v>
      </c>
      <c r="AF350" t="s">
        <v>190</v>
      </c>
      <c r="AG350" t="s">
        <v>554</v>
      </c>
      <c r="AH350" t="s">
        <v>285</v>
      </c>
    </row>
    <row r="351" spans="2:34" x14ac:dyDescent="0.2">
      <c r="B351" s="5">
        <v>24</v>
      </c>
      <c r="C351" s="5">
        <v>2</v>
      </c>
      <c r="D351" s="4">
        <f t="shared" si="113"/>
        <v>0</v>
      </c>
      <c r="E351" s="4">
        <f t="shared" si="110"/>
        <v>0</v>
      </c>
      <c r="F351" s="4">
        <f>'入力シート（2事業場以降）'!AR486</f>
        <v>0</v>
      </c>
      <c r="G351" s="42">
        <f>'入力シート（2事業場以降）'!J486</f>
        <v>0</v>
      </c>
      <c r="H351" s="42">
        <f>'入力シート（2事業場以降）'!L486</f>
        <v>0</v>
      </c>
      <c r="I351" s="42">
        <v>0</v>
      </c>
      <c r="J351" s="14">
        <f t="shared" si="105"/>
        <v>0</v>
      </c>
      <c r="K351" s="14">
        <f t="shared" si="114"/>
        <v>0</v>
      </c>
      <c r="L351" s="14">
        <f t="shared" si="115"/>
        <v>0</v>
      </c>
      <c r="M351" s="56">
        <f t="shared" si="111"/>
        <v>0</v>
      </c>
      <c r="N351" s="4">
        <f>IF(AND(入力シート!$F$22&gt;=中間シート!B351,'入力シート（2事業場以降）'!AR258=1),1,0)</f>
        <v>0</v>
      </c>
      <c r="W351" s="41" t="str">
        <f t="shared" ca="1" si="112"/>
        <v>OK</v>
      </c>
      <c r="X351" t="str">
        <f t="shared" ca="1" si="116"/>
        <v>OK</v>
      </c>
      <c r="Y351">
        <f t="shared" si="118"/>
        <v>0</v>
      </c>
      <c r="Z351">
        <f t="shared" si="117"/>
        <v>0</v>
      </c>
      <c r="AA351" s="18"/>
      <c r="AB351" t="s">
        <v>560</v>
      </c>
      <c r="AC351" t="s">
        <v>561</v>
      </c>
      <c r="AD351" t="s">
        <v>189</v>
      </c>
      <c r="AE351" t="s">
        <v>555</v>
      </c>
      <c r="AF351" t="s">
        <v>190</v>
      </c>
      <c r="AG351" t="s">
        <v>554</v>
      </c>
      <c r="AH351" t="s">
        <v>285</v>
      </c>
    </row>
    <row r="352" spans="2:34" x14ac:dyDescent="0.2">
      <c r="B352" s="5">
        <v>24</v>
      </c>
      <c r="C352" s="5">
        <v>3</v>
      </c>
      <c r="D352" s="4">
        <f t="shared" si="113"/>
        <v>0</v>
      </c>
      <c r="E352" s="4">
        <f t="shared" si="110"/>
        <v>0</v>
      </c>
      <c r="F352" s="4">
        <f>'入力シート（2事業場以降）'!AR488</f>
        <v>0</v>
      </c>
      <c r="G352" s="42">
        <f>'入力シート（2事業場以降）'!J488</f>
        <v>0</v>
      </c>
      <c r="H352" s="42">
        <f>'入力シート（2事業場以降）'!L488</f>
        <v>0</v>
      </c>
      <c r="I352" s="42">
        <v>0</v>
      </c>
      <c r="J352" s="14">
        <f t="shared" si="105"/>
        <v>0</v>
      </c>
      <c r="K352" s="14">
        <f t="shared" si="114"/>
        <v>0</v>
      </c>
      <c r="L352" s="14">
        <f t="shared" si="115"/>
        <v>0</v>
      </c>
      <c r="M352" s="56">
        <f t="shared" si="111"/>
        <v>0</v>
      </c>
      <c r="N352" s="4">
        <f>IF(AND(入力シート!$F$22&gt;=中間シート!B352,'入力シート（2事業場以降）'!AR260=1),1,0)</f>
        <v>0</v>
      </c>
      <c r="W352" s="41" t="str">
        <f t="shared" ca="1" si="112"/>
        <v>OK</v>
      </c>
      <c r="X352" t="str">
        <f t="shared" ca="1" si="116"/>
        <v>OK</v>
      </c>
      <c r="Y352">
        <f t="shared" si="118"/>
        <v>0</v>
      </c>
      <c r="Z352">
        <f t="shared" si="117"/>
        <v>0</v>
      </c>
      <c r="AA352" s="18"/>
      <c r="AB352" t="s">
        <v>560</v>
      </c>
      <c r="AC352" t="s">
        <v>561</v>
      </c>
      <c r="AD352" t="s">
        <v>189</v>
      </c>
      <c r="AE352" t="s">
        <v>555</v>
      </c>
      <c r="AF352" t="s">
        <v>190</v>
      </c>
      <c r="AG352" t="s">
        <v>554</v>
      </c>
      <c r="AH352" t="s">
        <v>285</v>
      </c>
    </row>
    <row r="353" spans="2:34" x14ac:dyDescent="0.2">
      <c r="B353" s="5">
        <v>25</v>
      </c>
      <c r="C353" s="5">
        <v>1</v>
      </c>
      <c r="D353" s="4">
        <f t="shared" si="113"/>
        <v>0</v>
      </c>
      <c r="E353" s="4">
        <f t="shared" si="110"/>
        <v>0</v>
      </c>
      <c r="F353" s="4">
        <f>'入力シート（2事業場以降）'!AR491</f>
        <v>0</v>
      </c>
      <c r="G353" s="42">
        <f>'入力シート（2事業場以降）'!J491</f>
        <v>0</v>
      </c>
      <c r="H353" s="42">
        <f>'入力シート（2事業場以降）'!L491</f>
        <v>0</v>
      </c>
      <c r="I353" s="42">
        <v>0</v>
      </c>
      <c r="J353" s="14">
        <f t="shared" si="105"/>
        <v>0</v>
      </c>
      <c r="K353" s="14">
        <f t="shared" si="114"/>
        <v>0</v>
      </c>
      <c r="L353" s="14">
        <f t="shared" si="115"/>
        <v>0</v>
      </c>
      <c r="M353" s="56">
        <f t="shared" si="111"/>
        <v>0</v>
      </c>
      <c r="N353" s="4">
        <f>IF(AND(入力シート!$F$22&gt;=中間シート!B353,'入力シート（2事業場以降）'!AR263=1),1,0)</f>
        <v>0</v>
      </c>
      <c r="W353" s="41" t="str">
        <f t="shared" ca="1" si="112"/>
        <v>OK</v>
      </c>
      <c r="X353" t="str">
        <f t="shared" ca="1" si="116"/>
        <v>OK</v>
      </c>
      <c r="Y353">
        <f t="shared" si="118"/>
        <v>0</v>
      </c>
      <c r="Z353">
        <f t="shared" si="117"/>
        <v>0</v>
      </c>
      <c r="AA353" t="s">
        <v>557</v>
      </c>
      <c r="AB353" t="s">
        <v>560</v>
      </c>
      <c r="AC353" t="s">
        <v>561</v>
      </c>
      <c r="AD353" t="s">
        <v>189</v>
      </c>
      <c r="AE353" t="s">
        <v>555</v>
      </c>
      <c r="AF353" t="s">
        <v>190</v>
      </c>
      <c r="AG353" t="s">
        <v>554</v>
      </c>
      <c r="AH353" t="s">
        <v>285</v>
      </c>
    </row>
    <row r="354" spans="2:34" x14ac:dyDescent="0.2">
      <c r="B354" s="5">
        <v>25</v>
      </c>
      <c r="C354" s="5">
        <v>2</v>
      </c>
      <c r="D354" s="4">
        <f t="shared" si="113"/>
        <v>0</v>
      </c>
      <c r="E354" s="4">
        <f t="shared" si="110"/>
        <v>0</v>
      </c>
      <c r="F354" s="4">
        <f>'入力シート（2事業場以降）'!AR493</f>
        <v>0</v>
      </c>
      <c r="G354" s="42">
        <f>'入力シート（2事業場以降）'!J493</f>
        <v>0</v>
      </c>
      <c r="H354" s="42">
        <f>'入力シート（2事業場以降）'!L493</f>
        <v>0</v>
      </c>
      <c r="I354" s="42">
        <v>0</v>
      </c>
      <c r="J354" s="14">
        <f t="shared" si="105"/>
        <v>0</v>
      </c>
      <c r="K354" s="14">
        <f t="shared" si="114"/>
        <v>0</v>
      </c>
      <c r="L354" s="14">
        <f t="shared" si="115"/>
        <v>0</v>
      </c>
      <c r="M354" s="56">
        <f t="shared" si="111"/>
        <v>0</v>
      </c>
      <c r="N354" s="4">
        <f>IF(AND(入力シート!$F$22&gt;=中間シート!B354,'入力シート（2事業場以降）'!AR265=1),1,0)</f>
        <v>0</v>
      </c>
      <c r="W354" s="41" t="str">
        <f t="shared" ca="1" si="112"/>
        <v>OK</v>
      </c>
      <c r="X354" t="str">
        <f t="shared" ca="1" si="116"/>
        <v>OK</v>
      </c>
      <c r="Y354">
        <f t="shared" si="118"/>
        <v>0</v>
      </c>
      <c r="Z354">
        <f t="shared" si="117"/>
        <v>0</v>
      </c>
      <c r="AA354" s="18"/>
      <c r="AB354" t="s">
        <v>560</v>
      </c>
      <c r="AC354" t="s">
        <v>561</v>
      </c>
      <c r="AD354" t="s">
        <v>189</v>
      </c>
      <c r="AE354" t="s">
        <v>555</v>
      </c>
      <c r="AF354" t="s">
        <v>190</v>
      </c>
      <c r="AG354" t="s">
        <v>554</v>
      </c>
      <c r="AH354" t="s">
        <v>285</v>
      </c>
    </row>
    <row r="355" spans="2:34" x14ac:dyDescent="0.2">
      <c r="B355" s="5">
        <v>25</v>
      </c>
      <c r="C355" s="5">
        <v>3</v>
      </c>
      <c r="D355" s="4">
        <f t="shared" si="113"/>
        <v>0</v>
      </c>
      <c r="E355" s="4">
        <f t="shared" si="110"/>
        <v>0</v>
      </c>
      <c r="F355" s="4">
        <f>'入力シート（2事業場以降）'!AR495</f>
        <v>0</v>
      </c>
      <c r="G355" s="42">
        <f>'入力シート（2事業場以降）'!J495</f>
        <v>0</v>
      </c>
      <c r="H355" s="42">
        <f>'入力シート（2事業場以降）'!L495</f>
        <v>0</v>
      </c>
      <c r="I355" s="42">
        <v>0</v>
      </c>
      <c r="J355" s="14">
        <f t="shared" si="105"/>
        <v>0</v>
      </c>
      <c r="K355" s="14">
        <f t="shared" si="114"/>
        <v>0</v>
      </c>
      <c r="L355" s="14">
        <f t="shared" si="115"/>
        <v>0</v>
      </c>
      <c r="M355" s="56">
        <f t="shared" si="111"/>
        <v>0</v>
      </c>
      <c r="N355" s="4">
        <f>IF(AND(入力シート!$F$22&gt;=中間シート!B355,'入力シート（2事業場以降）'!AR267=1),1,0)</f>
        <v>0</v>
      </c>
      <c r="W355" s="41" t="str">
        <f t="shared" ca="1" si="112"/>
        <v>OK</v>
      </c>
      <c r="X355" t="str">
        <f t="shared" ca="1" si="116"/>
        <v>OK</v>
      </c>
      <c r="Y355">
        <f t="shared" si="118"/>
        <v>0</v>
      </c>
      <c r="Z355">
        <f t="shared" si="117"/>
        <v>0</v>
      </c>
      <c r="AA355" s="18"/>
      <c r="AB355" t="s">
        <v>560</v>
      </c>
      <c r="AC355" t="s">
        <v>561</v>
      </c>
      <c r="AD355" t="s">
        <v>189</v>
      </c>
      <c r="AE355" t="s">
        <v>555</v>
      </c>
      <c r="AF355" t="s">
        <v>190</v>
      </c>
      <c r="AG355" t="s">
        <v>554</v>
      </c>
      <c r="AH355" t="s">
        <v>285</v>
      </c>
    </row>
    <row r="356" spans="2:34" x14ac:dyDescent="0.2">
      <c r="B356" s="5">
        <v>26</v>
      </c>
      <c r="C356" s="5">
        <v>1</v>
      </c>
      <c r="D356" s="4">
        <f t="shared" si="113"/>
        <v>0</v>
      </c>
      <c r="E356" s="4">
        <f t="shared" si="110"/>
        <v>0</v>
      </c>
      <c r="F356" s="4">
        <f>'入力シート（2事業場以降）'!AR498</f>
        <v>0</v>
      </c>
      <c r="G356" s="42">
        <f>'入力シート（2事業場以降）'!J498</f>
        <v>0</v>
      </c>
      <c r="H356" s="42">
        <f>'入力シート（2事業場以降）'!L498</f>
        <v>0</v>
      </c>
      <c r="I356" s="42">
        <v>0</v>
      </c>
      <c r="J356" s="14">
        <f t="shared" si="105"/>
        <v>0</v>
      </c>
      <c r="K356" s="14">
        <f t="shared" si="114"/>
        <v>0</v>
      </c>
      <c r="L356" s="14">
        <f t="shared" si="115"/>
        <v>0</v>
      </c>
      <c r="M356" s="56">
        <f t="shared" si="111"/>
        <v>0</v>
      </c>
      <c r="N356" s="4">
        <f>IF(AND(入力シート!$F$22&gt;=中間シート!B356,'入力シート（2事業場以降）'!AR270=1),1,0)</f>
        <v>0</v>
      </c>
      <c r="W356" s="41" t="str">
        <f t="shared" ca="1" si="112"/>
        <v>OK</v>
      </c>
      <c r="X356" t="str">
        <f t="shared" ca="1" si="116"/>
        <v>OK</v>
      </c>
      <c r="Y356">
        <f t="shared" si="118"/>
        <v>0</v>
      </c>
      <c r="Z356">
        <f t="shared" si="117"/>
        <v>0</v>
      </c>
      <c r="AA356" t="s">
        <v>557</v>
      </c>
      <c r="AB356" t="s">
        <v>560</v>
      </c>
      <c r="AC356" t="s">
        <v>561</v>
      </c>
      <c r="AD356" t="s">
        <v>189</v>
      </c>
      <c r="AE356" t="s">
        <v>555</v>
      </c>
      <c r="AF356" t="s">
        <v>190</v>
      </c>
      <c r="AG356" t="s">
        <v>554</v>
      </c>
      <c r="AH356" t="s">
        <v>285</v>
      </c>
    </row>
    <row r="357" spans="2:34" x14ac:dyDescent="0.2">
      <c r="B357" s="5">
        <v>26</v>
      </c>
      <c r="C357" s="5">
        <v>2</v>
      </c>
      <c r="D357" s="4">
        <f t="shared" si="113"/>
        <v>0</v>
      </c>
      <c r="E357" s="4">
        <f t="shared" si="110"/>
        <v>0</v>
      </c>
      <c r="F357" s="4">
        <f>'入力シート（2事業場以降）'!AR500</f>
        <v>0</v>
      </c>
      <c r="G357" s="42">
        <f>'入力シート（2事業場以降）'!J500</f>
        <v>0</v>
      </c>
      <c r="H357" s="42">
        <f>'入力シート（2事業場以降）'!L500</f>
        <v>0</v>
      </c>
      <c r="I357" s="42">
        <v>0</v>
      </c>
      <c r="J357" s="14">
        <f t="shared" si="105"/>
        <v>0</v>
      </c>
      <c r="K357" s="14">
        <f t="shared" si="114"/>
        <v>0</v>
      </c>
      <c r="L357" s="14">
        <f t="shared" si="115"/>
        <v>0</v>
      </c>
      <c r="M357" s="56">
        <f t="shared" si="111"/>
        <v>0</v>
      </c>
      <c r="N357" s="4">
        <f>IF(AND(入力シート!$F$22&gt;=中間シート!B357,'入力シート（2事業場以降）'!AR272=1),1,0)</f>
        <v>0</v>
      </c>
      <c r="W357" s="41" t="str">
        <f t="shared" ca="1" si="112"/>
        <v>OK</v>
      </c>
      <c r="X357" t="str">
        <f t="shared" ca="1" si="116"/>
        <v>OK</v>
      </c>
      <c r="Y357">
        <f t="shared" si="118"/>
        <v>0</v>
      </c>
      <c r="Z357">
        <f t="shared" si="117"/>
        <v>0</v>
      </c>
      <c r="AA357" s="18"/>
      <c r="AB357" t="s">
        <v>560</v>
      </c>
      <c r="AC357" t="s">
        <v>561</v>
      </c>
      <c r="AD357" t="s">
        <v>189</v>
      </c>
      <c r="AE357" t="s">
        <v>555</v>
      </c>
      <c r="AF357" t="s">
        <v>190</v>
      </c>
      <c r="AG357" t="s">
        <v>554</v>
      </c>
      <c r="AH357" t="s">
        <v>285</v>
      </c>
    </row>
    <row r="358" spans="2:34" x14ac:dyDescent="0.2">
      <c r="B358" s="5">
        <v>26</v>
      </c>
      <c r="C358" s="5">
        <v>3</v>
      </c>
      <c r="D358" s="4">
        <f t="shared" si="113"/>
        <v>0</v>
      </c>
      <c r="E358" s="4">
        <f t="shared" si="110"/>
        <v>0</v>
      </c>
      <c r="F358" s="4">
        <f>'入力シート（2事業場以降）'!AR502</f>
        <v>0</v>
      </c>
      <c r="G358" s="42">
        <f>'入力シート（2事業場以降）'!J502</f>
        <v>0</v>
      </c>
      <c r="H358" s="42">
        <f>'入力シート（2事業場以降）'!L502</f>
        <v>0</v>
      </c>
      <c r="I358" s="42">
        <v>0</v>
      </c>
      <c r="J358" s="14">
        <f t="shared" si="105"/>
        <v>0</v>
      </c>
      <c r="K358" s="14">
        <f t="shared" si="114"/>
        <v>0</v>
      </c>
      <c r="L358" s="14">
        <f t="shared" si="115"/>
        <v>0</v>
      </c>
      <c r="M358" s="56">
        <f t="shared" si="111"/>
        <v>0</v>
      </c>
      <c r="N358" s="4">
        <f>IF(AND(入力シート!$F$22&gt;=中間シート!B358,'入力シート（2事業場以降）'!AR274=1),1,0)</f>
        <v>0</v>
      </c>
      <c r="W358" s="41" t="str">
        <f t="shared" ca="1" si="112"/>
        <v>OK</v>
      </c>
      <c r="X358" t="str">
        <f t="shared" ca="1" si="116"/>
        <v>OK</v>
      </c>
      <c r="Y358">
        <f t="shared" si="118"/>
        <v>0</v>
      </c>
      <c r="Z358">
        <f t="shared" si="117"/>
        <v>0</v>
      </c>
      <c r="AA358" s="18"/>
      <c r="AB358" t="s">
        <v>560</v>
      </c>
      <c r="AC358" t="s">
        <v>561</v>
      </c>
      <c r="AD358" t="s">
        <v>189</v>
      </c>
      <c r="AE358" t="s">
        <v>555</v>
      </c>
      <c r="AF358" t="s">
        <v>190</v>
      </c>
      <c r="AG358" t="s">
        <v>554</v>
      </c>
      <c r="AH358" t="s">
        <v>285</v>
      </c>
    </row>
    <row r="359" spans="2:34" x14ac:dyDescent="0.2">
      <c r="B359" s="5">
        <v>27</v>
      </c>
      <c r="C359" s="5">
        <v>1</v>
      </c>
      <c r="D359" s="4">
        <f t="shared" si="113"/>
        <v>0</v>
      </c>
      <c r="E359" s="4">
        <f t="shared" si="110"/>
        <v>0</v>
      </c>
      <c r="F359" s="4">
        <f>'入力シート（2事業場以降）'!AR505</f>
        <v>0</v>
      </c>
      <c r="G359" s="42">
        <f>'入力シート（2事業場以降）'!J505</f>
        <v>0</v>
      </c>
      <c r="H359" s="42">
        <f>'入力シート（2事業場以降）'!L505</f>
        <v>0</v>
      </c>
      <c r="I359" s="42">
        <v>0</v>
      </c>
      <c r="J359" s="14">
        <f t="shared" si="105"/>
        <v>0</v>
      </c>
      <c r="K359" s="14">
        <f t="shared" si="114"/>
        <v>0</v>
      </c>
      <c r="L359" s="14">
        <f t="shared" si="115"/>
        <v>0</v>
      </c>
      <c r="M359" s="56">
        <f t="shared" si="111"/>
        <v>0</v>
      </c>
      <c r="N359" s="4">
        <f>IF(AND(入力シート!$F$22&gt;=中間シート!B359,'入力シート（2事業場以降）'!AR277=1),1,0)</f>
        <v>0</v>
      </c>
      <c r="W359" s="41" t="str">
        <f t="shared" ca="1" si="112"/>
        <v>OK</v>
      </c>
      <c r="X359" t="str">
        <f t="shared" ca="1" si="116"/>
        <v>OK</v>
      </c>
      <c r="Y359">
        <f t="shared" si="118"/>
        <v>0</v>
      </c>
      <c r="Z359">
        <f t="shared" si="117"/>
        <v>0</v>
      </c>
      <c r="AA359" t="s">
        <v>557</v>
      </c>
      <c r="AB359" t="s">
        <v>560</v>
      </c>
      <c r="AC359" t="s">
        <v>561</v>
      </c>
      <c r="AD359" t="s">
        <v>189</v>
      </c>
      <c r="AE359" t="s">
        <v>555</v>
      </c>
      <c r="AF359" t="s">
        <v>190</v>
      </c>
      <c r="AG359" t="s">
        <v>554</v>
      </c>
      <c r="AH359" t="s">
        <v>285</v>
      </c>
    </row>
    <row r="360" spans="2:34" x14ac:dyDescent="0.2">
      <c r="B360" s="5">
        <v>27</v>
      </c>
      <c r="C360" s="5">
        <v>2</v>
      </c>
      <c r="D360" s="4">
        <f t="shared" si="113"/>
        <v>0</v>
      </c>
      <c r="E360" s="4">
        <f t="shared" si="110"/>
        <v>0</v>
      </c>
      <c r="F360" s="4">
        <f>'入力シート（2事業場以降）'!AR507</f>
        <v>0</v>
      </c>
      <c r="G360" s="42">
        <f>'入力シート（2事業場以降）'!J507</f>
        <v>0</v>
      </c>
      <c r="H360" s="42">
        <f>'入力シート（2事業場以降）'!L507</f>
        <v>0</v>
      </c>
      <c r="I360" s="42">
        <v>0</v>
      </c>
      <c r="J360" s="14">
        <f t="shared" si="105"/>
        <v>0</v>
      </c>
      <c r="K360" s="14">
        <f t="shared" si="114"/>
        <v>0</v>
      </c>
      <c r="L360" s="14">
        <f t="shared" si="115"/>
        <v>0</v>
      </c>
      <c r="M360" s="56">
        <f t="shared" si="111"/>
        <v>0</v>
      </c>
      <c r="N360" s="4">
        <f>IF(AND(入力シート!$F$22&gt;=中間シート!B360,'入力シート（2事業場以降）'!AR279=1),1,0)</f>
        <v>0</v>
      </c>
      <c r="W360" s="41" t="str">
        <f t="shared" ca="1" si="112"/>
        <v>OK</v>
      </c>
      <c r="X360" t="str">
        <f t="shared" ca="1" si="116"/>
        <v>OK</v>
      </c>
      <c r="Y360">
        <f t="shared" si="118"/>
        <v>0</v>
      </c>
      <c r="Z360">
        <f t="shared" si="117"/>
        <v>0</v>
      </c>
      <c r="AA360" s="18"/>
      <c r="AB360" t="s">
        <v>560</v>
      </c>
      <c r="AC360" t="s">
        <v>561</v>
      </c>
      <c r="AD360" t="s">
        <v>189</v>
      </c>
      <c r="AE360" t="s">
        <v>555</v>
      </c>
      <c r="AF360" t="s">
        <v>190</v>
      </c>
      <c r="AG360" t="s">
        <v>554</v>
      </c>
      <c r="AH360" t="s">
        <v>285</v>
      </c>
    </row>
    <row r="361" spans="2:34" x14ac:dyDescent="0.2">
      <c r="B361" s="5">
        <v>27</v>
      </c>
      <c r="C361" s="5">
        <v>3</v>
      </c>
      <c r="D361" s="4">
        <f t="shared" si="113"/>
        <v>0</v>
      </c>
      <c r="E361" s="4">
        <f t="shared" si="110"/>
        <v>0</v>
      </c>
      <c r="F361" s="4">
        <f>'入力シート（2事業場以降）'!AR509</f>
        <v>0</v>
      </c>
      <c r="G361" s="42">
        <f>'入力シート（2事業場以降）'!J509</f>
        <v>0</v>
      </c>
      <c r="H361" s="42">
        <f>'入力シート（2事業場以降）'!L509</f>
        <v>0</v>
      </c>
      <c r="I361" s="42">
        <v>0</v>
      </c>
      <c r="J361" s="14">
        <f t="shared" si="105"/>
        <v>0</v>
      </c>
      <c r="K361" s="14">
        <f t="shared" si="114"/>
        <v>0</v>
      </c>
      <c r="L361" s="14">
        <f t="shared" si="115"/>
        <v>0</v>
      </c>
      <c r="M361" s="56">
        <f t="shared" si="111"/>
        <v>0</v>
      </c>
      <c r="N361" s="4">
        <f>IF(AND(入力シート!$F$22&gt;=中間シート!B361,'入力シート（2事業場以降）'!AR281=1),1,0)</f>
        <v>0</v>
      </c>
      <c r="W361" s="41" t="str">
        <f t="shared" ca="1" si="112"/>
        <v>OK</v>
      </c>
      <c r="X361" t="str">
        <f t="shared" ca="1" si="116"/>
        <v>OK</v>
      </c>
      <c r="Y361">
        <f t="shared" si="118"/>
        <v>0</v>
      </c>
      <c r="Z361">
        <f t="shared" si="117"/>
        <v>0</v>
      </c>
      <c r="AA361" s="18"/>
      <c r="AB361" t="s">
        <v>560</v>
      </c>
      <c r="AC361" t="s">
        <v>561</v>
      </c>
      <c r="AD361" t="s">
        <v>189</v>
      </c>
      <c r="AE361" t="s">
        <v>555</v>
      </c>
      <c r="AF361" t="s">
        <v>190</v>
      </c>
      <c r="AG361" t="s">
        <v>554</v>
      </c>
      <c r="AH361" t="s">
        <v>285</v>
      </c>
    </row>
    <row r="362" spans="2:34" x14ac:dyDescent="0.2">
      <c r="B362" s="5">
        <v>28</v>
      </c>
      <c r="C362" s="5">
        <v>1</v>
      </c>
      <c r="D362" s="4">
        <f t="shared" si="113"/>
        <v>0</v>
      </c>
      <c r="E362" s="4">
        <f t="shared" si="110"/>
        <v>0</v>
      </c>
      <c r="F362" s="4">
        <f>'入力シート（2事業場以降）'!AR512</f>
        <v>0</v>
      </c>
      <c r="G362" s="42">
        <f>'入力シート（2事業場以降）'!J512</f>
        <v>0</v>
      </c>
      <c r="H362" s="42">
        <f>'入力シート（2事業場以降）'!L512</f>
        <v>0</v>
      </c>
      <c r="I362" s="42">
        <v>0</v>
      </c>
      <c r="J362" s="14">
        <f t="shared" si="105"/>
        <v>0</v>
      </c>
      <c r="K362" s="14">
        <f t="shared" si="114"/>
        <v>0</v>
      </c>
      <c r="L362" s="14">
        <f t="shared" si="115"/>
        <v>0</v>
      </c>
      <c r="M362" s="56">
        <f t="shared" si="111"/>
        <v>0</v>
      </c>
      <c r="N362" s="4">
        <f>IF(AND(入力シート!$F$22&gt;=中間シート!B362,'入力シート（2事業場以降）'!AR284=1),1,0)</f>
        <v>0</v>
      </c>
      <c r="W362" s="41" t="str">
        <f t="shared" ca="1" si="112"/>
        <v>OK</v>
      </c>
      <c r="X362" t="str">
        <f t="shared" ca="1" si="116"/>
        <v>OK</v>
      </c>
      <c r="Y362">
        <f t="shared" si="118"/>
        <v>0</v>
      </c>
      <c r="Z362">
        <f t="shared" si="117"/>
        <v>0</v>
      </c>
      <c r="AA362" t="s">
        <v>557</v>
      </c>
      <c r="AB362" t="s">
        <v>560</v>
      </c>
      <c r="AC362" t="s">
        <v>561</v>
      </c>
      <c r="AD362" t="s">
        <v>189</v>
      </c>
      <c r="AE362" t="s">
        <v>555</v>
      </c>
      <c r="AF362" t="s">
        <v>190</v>
      </c>
      <c r="AG362" t="s">
        <v>554</v>
      </c>
      <c r="AH362" t="s">
        <v>285</v>
      </c>
    </row>
    <row r="363" spans="2:34" x14ac:dyDescent="0.2">
      <c r="B363" s="5">
        <v>28</v>
      </c>
      <c r="C363" s="5">
        <v>2</v>
      </c>
      <c r="D363" s="4">
        <f t="shared" si="113"/>
        <v>0</v>
      </c>
      <c r="E363" s="4">
        <f t="shared" si="110"/>
        <v>0</v>
      </c>
      <c r="F363" s="4">
        <f>'入力シート（2事業場以降）'!AR514</f>
        <v>0</v>
      </c>
      <c r="G363" s="42">
        <f>'入力シート（2事業場以降）'!J514</f>
        <v>0</v>
      </c>
      <c r="H363" s="42">
        <f>'入力シート（2事業場以降）'!L514</f>
        <v>0</v>
      </c>
      <c r="I363" s="42">
        <v>0</v>
      </c>
      <c r="J363" s="14">
        <f t="shared" si="105"/>
        <v>0</v>
      </c>
      <c r="K363" s="14">
        <f t="shared" si="114"/>
        <v>0</v>
      </c>
      <c r="L363" s="14">
        <f t="shared" si="115"/>
        <v>0</v>
      </c>
      <c r="M363" s="56">
        <f t="shared" si="111"/>
        <v>0</v>
      </c>
      <c r="N363" s="4">
        <f>IF(AND(入力シート!$F$22&gt;=中間シート!B363,'入力シート（2事業場以降）'!AR286=1),1,0)</f>
        <v>0</v>
      </c>
      <c r="W363" s="41" t="str">
        <f t="shared" ca="1" si="112"/>
        <v>OK</v>
      </c>
      <c r="X363" t="str">
        <f t="shared" ca="1" si="116"/>
        <v>OK</v>
      </c>
      <c r="Y363">
        <f t="shared" si="118"/>
        <v>0</v>
      </c>
      <c r="Z363">
        <f t="shared" si="117"/>
        <v>0</v>
      </c>
      <c r="AA363" s="18"/>
      <c r="AB363" t="s">
        <v>560</v>
      </c>
      <c r="AC363" t="s">
        <v>561</v>
      </c>
      <c r="AD363" t="s">
        <v>189</v>
      </c>
      <c r="AE363" t="s">
        <v>555</v>
      </c>
      <c r="AF363" t="s">
        <v>190</v>
      </c>
      <c r="AG363" t="s">
        <v>554</v>
      </c>
      <c r="AH363" t="s">
        <v>285</v>
      </c>
    </row>
    <row r="364" spans="2:34" x14ac:dyDescent="0.2">
      <c r="B364" s="5">
        <v>28</v>
      </c>
      <c r="C364" s="5">
        <v>3</v>
      </c>
      <c r="D364" s="4">
        <f t="shared" si="113"/>
        <v>0</v>
      </c>
      <c r="E364" s="4">
        <f t="shared" si="110"/>
        <v>0</v>
      </c>
      <c r="F364" s="4">
        <f>'入力シート（2事業場以降）'!AR516</f>
        <v>0</v>
      </c>
      <c r="G364" s="42">
        <f>'入力シート（2事業場以降）'!J516</f>
        <v>0</v>
      </c>
      <c r="H364" s="42">
        <f>'入力シート（2事業場以降）'!L516</f>
        <v>0</v>
      </c>
      <c r="I364" s="42">
        <v>0</v>
      </c>
      <c r="J364" s="14">
        <f t="shared" si="105"/>
        <v>0</v>
      </c>
      <c r="K364" s="14">
        <f t="shared" si="114"/>
        <v>0</v>
      </c>
      <c r="L364" s="14">
        <f t="shared" si="115"/>
        <v>0</v>
      </c>
      <c r="M364" s="56">
        <f t="shared" si="111"/>
        <v>0</v>
      </c>
      <c r="N364" s="4">
        <f>IF(AND(入力シート!$F$22&gt;=中間シート!B364,'入力シート（2事業場以降）'!AR288=1),1,0)</f>
        <v>0</v>
      </c>
      <c r="W364" s="41" t="str">
        <f t="shared" ca="1" si="112"/>
        <v>OK</v>
      </c>
      <c r="X364" t="str">
        <f t="shared" ca="1" si="116"/>
        <v>OK</v>
      </c>
      <c r="Y364">
        <f t="shared" si="118"/>
        <v>0</v>
      </c>
      <c r="Z364">
        <f t="shared" si="117"/>
        <v>0</v>
      </c>
      <c r="AA364" s="18"/>
      <c r="AB364" t="s">
        <v>560</v>
      </c>
      <c r="AC364" t="s">
        <v>561</v>
      </c>
      <c r="AD364" t="s">
        <v>189</v>
      </c>
      <c r="AE364" t="s">
        <v>555</v>
      </c>
      <c r="AF364" t="s">
        <v>190</v>
      </c>
      <c r="AG364" t="s">
        <v>554</v>
      </c>
      <c r="AH364" t="s">
        <v>285</v>
      </c>
    </row>
    <row r="365" spans="2:34" x14ac:dyDescent="0.2">
      <c r="B365" s="5">
        <v>29</v>
      </c>
      <c r="C365" s="5">
        <v>1</v>
      </c>
      <c r="D365" s="4">
        <f t="shared" si="113"/>
        <v>0</v>
      </c>
      <c r="E365" s="4">
        <f t="shared" si="110"/>
        <v>0</v>
      </c>
      <c r="F365" s="4">
        <f>'入力シート（2事業場以降）'!AR519</f>
        <v>0</v>
      </c>
      <c r="G365" s="42">
        <f>'入力シート（2事業場以降）'!J519</f>
        <v>0</v>
      </c>
      <c r="H365" s="42">
        <f>'入力シート（2事業場以降）'!L519</f>
        <v>0</v>
      </c>
      <c r="I365" s="42">
        <v>0</v>
      </c>
      <c r="J365" s="14">
        <f t="shared" si="105"/>
        <v>0</v>
      </c>
      <c r="K365" s="14">
        <f t="shared" si="114"/>
        <v>0</v>
      </c>
      <c r="L365" s="14">
        <f t="shared" si="115"/>
        <v>0</v>
      </c>
      <c r="M365" s="56">
        <f t="shared" si="111"/>
        <v>0</v>
      </c>
      <c r="N365" s="4">
        <f>IF(AND(入力シート!$F$22&gt;=中間シート!B365,'入力シート（2事業場以降）'!AR291=1),1,0)</f>
        <v>0</v>
      </c>
      <c r="W365" s="41" t="str">
        <f t="shared" ca="1" si="112"/>
        <v>OK</v>
      </c>
      <c r="X365" t="str">
        <f t="shared" ca="1" si="116"/>
        <v>OK</v>
      </c>
      <c r="Y365">
        <f t="shared" si="118"/>
        <v>0</v>
      </c>
      <c r="Z365">
        <f t="shared" si="117"/>
        <v>0</v>
      </c>
      <c r="AA365" t="s">
        <v>557</v>
      </c>
      <c r="AB365" t="s">
        <v>560</v>
      </c>
      <c r="AC365" t="s">
        <v>561</v>
      </c>
      <c r="AD365" t="s">
        <v>189</v>
      </c>
      <c r="AE365" t="s">
        <v>555</v>
      </c>
      <c r="AF365" t="s">
        <v>190</v>
      </c>
      <c r="AG365" t="s">
        <v>554</v>
      </c>
      <c r="AH365" t="s">
        <v>285</v>
      </c>
    </row>
    <row r="366" spans="2:34" x14ac:dyDescent="0.2">
      <c r="B366" s="5">
        <v>29</v>
      </c>
      <c r="C366" s="5">
        <v>2</v>
      </c>
      <c r="D366" s="4">
        <f t="shared" si="113"/>
        <v>0</v>
      </c>
      <c r="E366" s="4">
        <f t="shared" si="110"/>
        <v>0</v>
      </c>
      <c r="F366" s="4">
        <f>'入力シート（2事業場以降）'!AR521</f>
        <v>0</v>
      </c>
      <c r="G366" s="42">
        <f>'入力シート（2事業場以降）'!J521</f>
        <v>0</v>
      </c>
      <c r="H366" s="42">
        <f>'入力シート（2事業場以降）'!L521</f>
        <v>0</v>
      </c>
      <c r="I366" s="42">
        <v>0</v>
      </c>
      <c r="J366" s="14">
        <f t="shared" si="105"/>
        <v>0</v>
      </c>
      <c r="K366" s="14">
        <f t="shared" si="114"/>
        <v>0</v>
      </c>
      <c r="L366" s="14">
        <f t="shared" si="115"/>
        <v>0</v>
      </c>
      <c r="M366" s="56">
        <f t="shared" si="111"/>
        <v>0</v>
      </c>
      <c r="N366" s="4">
        <f>IF(AND(入力シート!$F$22&gt;=中間シート!B366,'入力シート（2事業場以降）'!AR293=1),1,0)</f>
        <v>0</v>
      </c>
      <c r="W366" s="41" t="str">
        <f t="shared" ca="1" si="112"/>
        <v>OK</v>
      </c>
      <c r="X366" t="str">
        <f t="shared" ca="1" si="116"/>
        <v>OK</v>
      </c>
      <c r="Y366">
        <f t="shared" si="118"/>
        <v>0</v>
      </c>
      <c r="Z366">
        <f t="shared" si="117"/>
        <v>0</v>
      </c>
      <c r="AA366" s="18"/>
      <c r="AB366" t="s">
        <v>560</v>
      </c>
      <c r="AC366" t="s">
        <v>561</v>
      </c>
      <c r="AD366" t="s">
        <v>189</v>
      </c>
      <c r="AE366" t="s">
        <v>555</v>
      </c>
      <c r="AF366" t="s">
        <v>190</v>
      </c>
      <c r="AG366" t="s">
        <v>554</v>
      </c>
      <c r="AH366" t="s">
        <v>285</v>
      </c>
    </row>
    <row r="367" spans="2:34" x14ac:dyDescent="0.2">
      <c r="B367" s="5">
        <v>29</v>
      </c>
      <c r="C367" s="5">
        <v>3</v>
      </c>
      <c r="D367" s="4">
        <f t="shared" si="113"/>
        <v>0</v>
      </c>
      <c r="E367" s="4">
        <f t="shared" si="110"/>
        <v>0</v>
      </c>
      <c r="F367" s="4">
        <f>'入力シート（2事業場以降）'!AR523</f>
        <v>0</v>
      </c>
      <c r="G367" s="42">
        <f>'入力シート（2事業場以降）'!J523</f>
        <v>0</v>
      </c>
      <c r="H367" s="42">
        <f>'入力シート（2事業場以降）'!L523</f>
        <v>0</v>
      </c>
      <c r="I367" s="42">
        <v>0</v>
      </c>
      <c r="J367" s="14">
        <f t="shared" si="105"/>
        <v>0</v>
      </c>
      <c r="K367" s="14">
        <f t="shared" si="114"/>
        <v>0</v>
      </c>
      <c r="L367" s="14">
        <f t="shared" si="115"/>
        <v>0</v>
      </c>
      <c r="M367" s="56">
        <f t="shared" si="111"/>
        <v>0</v>
      </c>
      <c r="N367" s="4">
        <f>IF(AND(入力シート!$F$22&gt;=中間シート!B367,'入力シート（2事業場以降）'!AR295=1),1,0)</f>
        <v>0</v>
      </c>
      <c r="W367" s="41" t="str">
        <f t="shared" ca="1" si="112"/>
        <v>OK</v>
      </c>
      <c r="X367" t="str">
        <f t="shared" ca="1" si="116"/>
        <v>OK</v>
      </c>
      <c r="Y367">
        <f t="shared" si="118"/>
        <v>0</v>
      </c>
      <c r="Z367">
        <f t="shared" si="117"/>
        <v>0</v>
      </c>
      <c r="AA367" s="18"/>
      <c r="AB367" t="s">
        <v>560</v>
      </c>
      <c r="AC367" t="s">
        <v>561</v>
      </c>
      <c r="AD367" t="s">
        <v>189</v>
      </c>
      <c r="AE367" t="s">
        <v>555</v>
      </c>
      <c r="AF367" t="s">
        <v>190</v>
      </c>
      <c r="AG367" t="s">
        <v>554</v>
      </c>
      <c r="AH367" t="s">
        <v>285</v>
      </c>
    </row>
    <row r="368" spans="2:34" x14ac:dyDescent="0.2">
      <c r="B368" s="5">
        <v>30</v>
      </c>
      <c r="C368" s="5">
        <v>1</v>
      </c>
      <c r="D368" s="4">
        <f t="shared" si="113"/>
        <v>0</v>
      </c>
      <c r="E368" s="4">
        <f t="shared" si="110"/>
        <v>0</v>
      </c>
      <c r="F368" s="4">
        <f>'入力シート（2事業場以降）'!AR526</f>
        <v>0</v>
      </c>
      <c r="G368" s="42">
        <f>'入力シート（2事業場以降）'!J526</f>
        <v>0</v>
      </c>
      <c r="H368" s="42">
        <f>'入力シート（2事業場以降）'!L526</f>
        <v>0</v>
      </c>
      <c r="I368" s="42">
        <v>0</v>
      </c>
      <c r="J368" s="14">
        <f t="shared" si="105"/>
        <v>0</v>
      </c>
      <c r="K368" s="14">
        <f t="shared" si="114"/>
        <v>0</v>
      </c>
      <c r="L368" s="14">
        <f t="shared" si="115"/>
        <v>0</v>
      </c>
      <c r="M368" s="56">
        <f t="shared" si="111"/>
        <v>0</v>
      </c>
      <c r="N368" s="4">
        <f>IF(AND(入力シート!$F$22&gt;=中間シート!B368,'入力シート（2事業場以降）'!AR298=1),1,0)</f>
        <v>0</v>
      </c>
      <c r="W368" s="41" t="str">
        <f t="shared" ca="1" si="112"/>
        <v>OK</v>
      </c>
      <c r="X368" t="str">
        <f t="shared" ca="1" si="116"/>
        <v>OK</v>
      </c>
      <c r="Y368">
        <f t="shared" si="118"/>
        <v>0</v>
      </c>
      <c r="Z368">
        <f t="shared" si="117"/>
        <v>0</v>
      </c>
      <c r="AA368" t="s">
        <v>557</v>
      </c>
      <c r="AB368" t="s">
        <v>560</v>
      </c>
      <c r="AC368" t="s">
        <v>561</v>
      </c>
      <c r="AD368" t="s">
        <v>189</v>
      </c>
      <c r="AE368" t="s">
        <v>555</v>
      </c>
      <c r="AF368" t="s">
        <v>190</v>
      </c>
      <c r="AG368" t="s">
        <v>554</v>
      </c>
      <c r="AH368" t="s">
        <v>285</v>
      </c>
    </row>
    <row r="369" spans="2:34" x14ac:dyDescent="0.2">
      <c r="B369" s="5">
        <v>30</v>
      </c>
      <c r="C369" s="5">
        <v>2</v>
      </c>
      <c r="D369" s="4">
        <f t="shared" si="113"/>
        <v>0</v>
      </c>
      <c r="E369" s="4">
        <f t="shared" si="110"/>
        <v>0</v>
      </c>
      <c r="F369" s="4">
        <f>'入力シート（2事業場以降）'!AR528</f>
        <v>0</v>
      </c>
      <c r="G369" s="42">
        <f>'入力シート（2事業場以降）'!J528</f>
        <v>0</v>
      </c>
      <c r="H369" s="42">
        <f>'入力シート（2事業場以降）'!L528</f>
        <v>0</v>
      </c>
      <c r="I369" s="42">
        <v>0</v>
      </c>
      <c r="J369" s="14">
        <f t="shared" si="105"/>
        <v>0</v>
      </c>
      <c r="K369" s="14">
        <f t="shared" si="114"/>
        <v>0</v>
      </c>
      <c r="L369" s="14">
        <f t="shared" si="115"/>
        <v>0</v>
      </c>
      <c r="M369" s="56">
        <f>IF(C369=1,SUM(K369:L370),M368)</f>
        <v>0</v>
      </c>
      <c r="N369" s="4">
        <f>IF(AND(入力シート!$F$22&gt;=中間シート!B369,'入力シート（2事業場以降）'!AR300=1),1,0)</f>
        <v>0</v>
      </c>
      <c r="W369" s="41" t="str">
        <f t="shared" ca="1" si="112"/>
        <v>OK</v>
      </c>
      <c r="X369" t="str">
        <f t="shared" ca="1" si="116"/>
        <v>OK</v>
      </c>
      <c r="Y369">
        <f t="shared" si="118"/>
        <v>0</v>
      </c>
      <c r="Z369">
        <f t="shared" si="117"/>
        <v>0</v>
      </c>
      <c r="AA369" s="18"/>
      <c r="AB369" t="s">
        <v>560</v>
      </c>
      <c r="AC369" t="s">
        <v>561</v>
      </c>
      <c r="AD369" t="s">
        <v>189</v>
      </c>
      <c r="AE369" t="s">
        <v>555</v>
      </c>
      <c r="AF369" t="s">
        <v>190</v>
      </c>
      <c r="AG369" t="s">
        <v>554</v>
      </c>
      <c r="AH369" t="s">
        <v>285</v>
      </c>
    </row>
    <row r="370" spans="2:34" x14ac:dyDescent="0.2">
      <c r="B370" s="5">
        <v>30</v>
      </c>
      <c r="C370" s="5">
        <v>3</v>
      </c>
      <c r="D370" s="4">
        <f t="shared" si="113"/>
        <v>0</v>
      </c>
      <c r="E370" s="4">
        <f t="shared" si="110"/>
        <v>0</v>
      </c>
      <c r="F370" s="4">
        <f>'入力シート（2事業場以降）'!AR530</f>
        <v>0</v>
      </c>
      <c r="G370" s="42">
        <f>'入力シート（2事業場以降）'!J530</f>
        <v>0</v>
      </c>
      <c r="H370" s="42">
        <f>'入力シート（2事業場以降）'!L530</f>
        <v>0</v>
      </c>
      <c r="I370" s="42">
        <v>0</v>
      </c>
      <c r="J370" s="14">
        <f t="shared" si="105"/>
        <v>0</v>
      </c>
      <c r="K370" s="14">
        <f t="shared" si="114"/>
        <v>0</v>
      </c>
      <c r="L370" s="14">
        <f t="shared" si="115"/>
        <v>0</v>
      </c>
      <c r="M370" s="56">
        <f>IF(C370=1,SUM(K370:L370),M369)</f>
        <v>0</v>
      </c>
      <c r="N370" s="4">
        <f>IF(AND(入力シート!$F$22&gt;=中間シート!B370,'入力シート（2事業場以降）'!AR302=1),1,0)</f>
        <v>0</v>
      </c>
      <c r="W370" s="41" t="str">
        <f t="shared" ca="1" si="112"/>
        <v>OK</v>
      </c>
      <c r="X370" t="str">
        <f t="shared" ca="1" si="116"/>
        <v>OK</v>
      </c>
      <c r="Y370">
        <f t="shared" si="118"/>
        <v>0</v>
      </c>
      <c r="Z370">
        <f t="shared" si="117"/>
        <v>0</v>
      </c>
      <c r="AA370" s="18"/>
      <c r="AB370" t="s">
        <v>560</v>
      </c>
      <c r="AC370" t="s">
        <v>561</v>
      </c>
      <c r="AD370" t="s">
        <v>189</v>
      </c>
      <c r="AE370" t="s">
        <v>555</v>
      </c>
      <c r="AF370" t="s">
        <v>190</v>
      </c>
      <c r="AG370" t="s">
        <v>554</v>
      </c>
      <c r="AH370" t="s">
        <v>285</v>
      </c>
    </row>
    <row r="371" spans="2:34" x14ac:dyDescent="0.2">
      <c r="W371" s="41"/>
      <c r="AA371" s="3"/>
      <c r="AB371" s="3"/>
    </row>
    <row r="372" spans="2:34" ht="39.6" x14ac:dyDescent="0.2">
      <c r="B372" s="5" t="s">
        <v>191</v>
      </c>
      <c r="C372" s="9" t="s">
        <v>156</v>
      </c>
      <c r="D372" s="9" t="s">
        <v>192</v>
      </c>
      <c r="E372" s="9" t="s">
        <v>193</v>
      </c>
      <c r="F372" s="9" t="s">
        <v>194</v>
      </c>
      <c r="G372" s="9" t="s">
        <v>104</v>
      </c>
      <c r="H372" s="9" t="s">
        <v>37</v>
      </c>
      <c r="W372" s="41"/>
      <c r="X372" s="11" t="s">
        <v>150</v>
      </c>
      <c r="Y372" s="43" t="s">
        <v>143</v>
      </c>
      <c r="Z372" s="33" t="s">
        <v>144</v>
      </c>
    </row>
    <row r="373" spans="2:34" x14ac:dyDescent="0.2">
      <c r="B373" s="5" t="s">
        <v>195</v>
      </c>
      <c r="C373" s="4">
        <v>1</v>
      </c>
      <c r="D373" s="17">
        <f>SUM(J281:J283)</f>
        <v>0</v>
      </c>
      <c r="E373" s="17">
        <f>SUM(K281:K283)</f>
        <v>0</v>
      </c>
      <c r="F373" s="17">
        <f>SUM(L281:L283)</f>
        <v>0</v>
      </c>
      <c r="G373" s="17">
        <f>E373+F373</f>
        <v>0</v>
      </c>
      <c r="H373" s="17">
        <f>IF(G373/3&gt;10000,10000,ROUNDDOWN(G373/3,-2))</f>
        <v>0</v>
      </c>
      <c r="W373" s="41" t="str">
        <f t="shared" ref="W373" ca="1" si="119">IF(X373="OK",X373,"NG")</f>
        <v>NG</v>
      </c>
      <c r="X373" t="str">
        <f ca="1">IF(Y373=1,"",IF(Y373=2,AA373,IF(Z373&lt;&gt;0,OFFSET(AA373,0,Z373),"")))</f>
        <v>機器毎に入力すると
補助事業に要する経費、スキャンツールの価格、情報端末価格の合計金額、
補助対象経費、補助金の額が自動で表示されます。</v>
      </c>
      <c r="Y373">
        <f>IF(C373=0,1,IF(SUM(D373:H373)=0,2,0))</f>
        <v>2</v>
      </c>
      <c r="Z373">
        <f>IF(G373&lt;=D373,0,1)</f>
        <v>0</v>
      </c>
      <c r="AA373" t="str">
        <f>"機器毎に入力すると"&amp;CHAR(10)&amp;G280&amp;"、"&amp;H280&amp;"、"&amp;I280&amp;"の合計金額、"&amp;CHAR(10)&amp;G372&amp;"、"&amp;H372&amp;"が自動で表示されます。"</f>
        <v>機器毎に入力すると
補助事業に要する経費、スキャンツールの価格、情報端末価格の合計金額、
補助対象経費、補助金の額が自動で表示されます。</v>
      </c>
      <c r="AB373" t="str">
        <f>$G$280&amp;"が"&amp;$G$372&amp;"より少なくなっています。"&amp;CHAR(10)&amp;$G$280&amp;"を"&amp;$G$372&amp;"（"&amp;$H$280&amp;"+"&amp;$L$280&amp;"）と同額にするか、多くしてください。"</f>
        <v>補助事業に要する経費が補助対象経費より少なくなっています。
補助事業に要する経費を補助対象経費（スキャンツールの価格+情報端末価格）と同額にするか、多くしてください。</v>
      </c>
    </row>
    <row r="374" spans="2:34" x14ac:dyDescent="0.2">
      <c r="B374" s="5" t="s">
        <v>196</v>
      </c>
      <c r="C374" s="4">
        <f t="shared" ref="C374:C402" si="120">IF(VALUE(MID(B374,4,2))&lt;=$G$3,1,0)</f>
        <v>0</v>
      </c>
      <c r="D374" s="17">
        <f>SUM(J284:J286)</f>
        <v>0</v>
      </c>
      <c r="E374" s="17">
        <f>SUM(K284:K286)</f>
        <v>0</v>
      </c>
      <c r="F374" s="17">
        <f>SUM(L284:L286)</f>
        <v>0</v>
      </c>
      <c r="G374" s="17">
        <f t="shared" ref="G374:G382" si="121">E374+F374</f>
        <v>0</v>
      </c>
      <c r="H374" s="17">
        <f t="shared" ref="H374:H402" si="122">IF(G374/3&gt;10000,10000,ROUNDDOWN(G374/3,-2))</f>
        <v>0</v>
      </c>
    </row>
    <row r="375" spans="2:34" x14ac:dyDescent="0.2">
      <c r="B375" s="5" t="s">
        <v>197</v>
      </c>
      <c r="C375" s="4">
        <f t="shared" si="120"/>
        <v>0</v>
      </c>
      <c r="D375" s="17">
        <f>SUM(J287:J289)</f>
        <v>0</v>
      </c>
      <c r="E375" s="17">
        <f>SUM(K287:K289)</f>
        <v>0</v>
      </c>
      <c r="F375" s="17">
        <f>SUM(L287:L289)</f>
        <v>0</v>
      </c>
      <c r="G375" s="17">
        <f t="shared" si="121"/>
        <v>0</v>
      </c>
      <c r="H375" s="17">
        <f t="shared" si="122"/>
        <v>0</v>
      </c>
    </row>
    <row r="376" spans="2:34" x14ac:dyDescent="0.2">
      <c r="B376" s="5" t="s">
        <v>198</v>
      </c>
      <c r="C376" s="4">
        <f t="shared" si="120"/>
        <v>0</v>
      </c>
      <c r="D376" s="17">
        <f>SUM(J290:J292)</f>
        <v>0</v>
      </c>
      <c r="E376" s="17">
        <f>SUM(K290:K292)</f>
        <v>0</v>
      </c>
      <c r="F376" s="17">
        <f>SUM(L290:L292)</f>
        <v>0</v>
      </c>
      <c r="G376" s="17">
        <f t="shared" si="121"/>
        <v>0</v>
      </c>
      <c r="H376" s="17">
        <f t="shared" si="122"/>
        <v>0</v>
      </c>
    </row>
    <row r="377" spans="2:34" x14ac:dyDescent="0.2">
      <c r="B377" s="5" t="s">
        <v>199</v>
      </c>
      <c r="C377" s="4">
        <f t="shared" si="120"/>
        <v>0</v>
      </c>
      <c r="D377" s="17">
        <f>SUM(J293:J295)</f>
        <v>0</v>
      </c>
      <c r="E377" s="17">
        <f>SUM(K293:K295)</f>
        <v>0</v>
      </c>
      <c r="F377" s="17">
        <f>SUM(L293:L295)</f>
        <v>0</v>
      </c>
      <c r="G377" s="17">
        <f t="shared" si="121"/>
        <v>0</v>
      </c>
      <c r="H377" s="17">
        <f t="shared" si="122"/>
        <v>0</v>
      </c>
    </row>
    <row r="378" spans="2:34" x14ac:dyDescent="0.2">
      <c r="B378" s="5" t="s">
        <v>200</v>
      </c>
      <c r="C378" s="4">
        <f t="shared" si="120"/>
        <v>0</v>
      </c>
      <c r="D378" s="17">
        <f>SUM(J296:J298)</f>
        <v>0</v>
      </c>
      <c r="E378" s="17">
        <f>SUM(K296:K298)</f>
        <v>0</v>
      </c>
      <c r="F378" s="17">
        <f>SUM(L296:L298)</f>
        <v>0</v>
      </c>
      <c r="G378" s="17">
        <f t="shared" si="121"/>
        <v>0</v>
      </c>
      <c r="H378" s="17">
        <f t="shared" si="122"/>
        <v>0</v>
      </c>
    </row>
    <row r="379" spans="2:34" x14ac:dyDescent="0.2">
      <c r="B379" s="5" t="s">
        <v>201</v>
      </c>
      <c r="C379" s="4">
        <f t="shared" si="120"/>
        <v>0</v>
      </c>
      <c r="D379" s="17">
        <f>SUM(J299:J301)</f>
        <v>0</v>
      </c>
      <c r="E379" s="17">
        <f>SUM(K299:K301)</f>
        <v>0</v>
      </c>
      <c r="F379" s="17">
        <f>SUM(L299:L301)</f>
        <v>0</v>
      </c>
      <c r="G379" s="17">
        <f t="shared" si="121"/>
        <v>0</v>
      </c>
      <c r="H379" s="17">
        <f t="shared" si="122"/>
        <v>0</v>
      </c>
    </row>
    <row r="380" spans="2:34" x14ac:dyDescent="0.2">
      <c r="B380" s="5" t="s">
        <v>202</v>
      </c>
      <c r="C380" s="4">
        <f t="shared" si="120"/>
        <v>0</v>
      </c>
      <c r="D380" s="17">
        <f>SUM(J302:J304)</f>
        <v>0</v>
      </c>
      <c r="E380" s="17">
        <f>SUM(K302:K304)</f>
        <v>0</v>
      </c>
      <c r="F380" s="17">
        <f>SUM(L302:L304)</f>
        <v>0</v>
      </c>
      <c r="G380" s="17">
        <f t="shared" si="121"/>
        <v>0</v>
      </c>
      <c r="H380" s="17">
        <f t="shared" si="122"/>
        <v>0</v>
      </c>
    </row>
    <row r="381" spans="2:34" x14ac:dyDescent="0.2">
      <c r="B381" s="5" t="s">
        <v>203</v>
      </c>
      <c r="C381" s="4">
        <f t="shared" si="120"/>
        <v>0</v>
      </c>
      <c r="D381" s="17">
        <f>SUM(J305:J307)</f>
        <v>0</v>
      </c>
      <c r="E381" s="17">
        <f>SUM(K305:K307)</f>
        <v>0</v>
      </c>
      <c r="F381" s="17">
        <f>SUM(L305:L307)</f>
        <v>0</v>
      </c>
      <c r="G381" s="17">
        <f t="shared" si="121"/>
        <v>0</v>
      </c>
      <c r="H381" s="17">
        <f t="shared" si="122"/>
        <v>0</v>
      </c>
    </row>
    <row r="382" spans="2:34" x14ac:dyDescent="0.2">
      <c r="B382" s="5" t="s">
        <v>204</v>
      </c>
      <c r="C382" s="4">
        <f t="shared" si="120"/>
        <v>0</v>
      </c>
      <c r="D382" s="17">
        <f>SUM(J308:J310)</f>
        <v>0</v>
      </c>
      <c r="E382" s="17">
        <f>SUM(K308:K310)</f>
        <v>0</v>
      </c>
      <c r="F382" s="17">
        <f>SUM(L308:L310)</f>
        <v>0</v>
      </c>
      <c r="G382" s="17">
        <f t="shared" si="121"/>
        <v>0</v>
      </c>
      <c r="H382" s="17">
        <f t="shared" si="122"/>
        <v>0</v>
      </c>
    </row>
    <row r="383" spans="2:34" x14ac:dyDescent="0.2">
      <c r="B383" s="5" t="s">
        <v>205</v>
      </c>
      <c r="C383" s="4">
        <f t="shared" si="120"/>
        <v>0</v>
      </c>
      <c r="D383" s="17">
        <f>SUM(J311:J313)</f>
        <v>0</v>
      </c>
      <c r="E383" s="17">
        <f>SUM(K311:K313)</f>
        <v>0</v>
      </c>
      <c r="F383" s="17">
        <f>SUM(L311:L313)</f>
        <v>0</v>
      </c>
      <c r="G383" s="17">
        <f t="shared" ref="G383:G402" si="123">E383+F383</f>
        <v>0</v>
      </c>
      <c r="H383" s="17">
        <f t="shared" si="122"/>
        <v>0</v>
      </c>
    </row>
    <row r="384" spans="2:34" x14ac:dyDescent="0.2">
      <c r="B384" s="5" t="s">
        <v>206</v>
      </c>
      <c r="C384" s="4">
        <f t="shared" si="120"/>
        <v>0</v>
      </c>
      <c r="D384" s="17">
        <f>SUM(J314:J316)</f>
        <v>0</v>
      </c>
      <c r="E384" s="17">
        <f>SUM(K314:K316)</f>
        <v>0</v>
      </c>
      <c r="F384" s="17">
        <f>SUM(L314:L316)</f>
        <v>0</v>
      </c>
      <c r="G384" s="17">
        <f t="shared" si="123"/>
        <v>0</v>
      </c>
      <c r="H384" s="17">
        <f t="shared" si="122"/>
        <v>0</v>
      </c>
    </row>
    <row r="385" spans="2:8" x14ac:dyDescent="0.2">
      <c r="B385" s="5" t="s">
        <v>207</v>
      </c>
      <c r="C385" s="4">
        <f t="shared" si="120"/>
        <v>0</v>
      </c>
      <c r="D385" s="17">
        <f>SUM(J317:J319)</f>
        <v>0</v>
      </c>
      <c r="E385" s="17">
        <f>SUM(K317:K319)</f>
        <v>0</v>
      </c>
      <c r="F385" s="17">
        <f>SUM(L317:L319)</f>
        <v>0</v>
      </c>
      <c r="G385" s="17">
        <f t="shared" si="123"/>
        <v>0</v>
      </c>
      <c r="H385" s="17">
        <f t="shared" si="122"/>
        <v>0</v>
      </c>
    </row>
    <row r="386" spans="2:8" x14ac:dyDescent="0.2">
      <c r="B386" s="5" t="s">
        <v>208</v>
      </c>
      <c r="C386" s="4">
        <f t="shared" si="120"/>
        <v>0</v>
      </c>
      <c r="D386" s="17">
        <f>SUM(J320:J322)</f>
        <v>0</v>
      </c>
      <c r="E386" s="17">
        <f>SUM(K320:K322)</f>
        <v>0</v>
      </c>
      <c r="F386" s="17">
        <f>SUM(L320:L322)</f>
        <v>0</v>
      </c>
      <c r="G386" s="17">
        <f t="shared" si="123"/>
        <v>0</v>
      </c>
      <c r="H386" s="17">
        <f t="shared" si="122"/>
        <v>0</v>
      </c>
    </row>
    <row r="387" spans="2:8" x14ac:dyDescent="0.2">
      <c r="B387" s="5" t="s">
        <v>209</v>
      </c>
      <c r="C387" s="4">
        <f t="shared" si="120"/>
        <v>0</v>
      </c>
      <c r="D387" s="17">
        <f>SUM(J323:J325)</f>
        <v>0</v>
      </c>
      <c r="E387" s="17">
        <f>SUM(K323:K325)</f>
        <v>0</v>
      </c>
      <c r="F387" s="17">
        <f>SUM(L323:L325)</f>
        <v>0</v>
      </c>
      <c r="G387" s="17">
        <f t="shared" si="123"/>
        <v>0</v>
      </c>
      <c r="H387" s="17">
        <f t="shared" si="122"/>
        <v>0</v>
      </c>
    </row>
    <row r="388" spans="2:8" x14ac:dyDescent="0.2">
      <c r="B388" s="5" t="s">
        <v>210</v>
      </c>
      <c r="C388" s="4">
        <f t="shared" si="120"/>
        <v>0</v>
      </c>
      <c r="D388" s="17">
        <f>SUM(J326:J328)</f>
        <v>0</v>
      </c>
      <c r="E388" s="17">
        <f>SUM(K326:K328)</f>
        <v>0</v>
      </c>
      <c r="F388" s="17">
        <f>SUM(L326:L328)</f>
        <v>0</v>
      </c>
      <c r="G388" s="17">
        <f t="shared" si="123"/>
        <v>0</v>
      </c>
      <c r="H388" s="17">
        <f t="shared" si="122"/>
        <v>0</v>
      </c>
    </row>
    <row r="389" spans="2:8" x14ac:dyDescent="0.2">
      <c r="B389" s="5" t="s">
        <v>211</v>
      </c>
      <c r="C389" s="4">
        <f t="shared" si="120"/>
        <v>0</v>
      </c>
      <c r="D389" s="17">
        <f>SUM(J329:J331)</f>
        <v>0</v>
      </c>
      <c r="E389" s="17">
        <f>SUM(K329:K331)</f>
        <v>0</v>
      </c>
      <c r="F389" s="17">
        <f>SUM(L329:L331)</f>
        <v>0</v>
      </c>
      <c r="G389" s="17">
        <f t="shared" si="123"/>
        <v>0</v>
      </c>
      <c r="H389" s="17">
        <f t="shared" si="122"/>
        <v>0</v>
      </c>
    </row>
    <row r="390" spans="2:8" x14ac:dyDescent="0.2">
      <c r="B390" s="5" t="s">
        <v>212</v>
      </c>
      <c r="C390" s="4">
        <f t="shared" si="120"/>
        <v>0</v>
      </c>
      <c r="D390" s="17">
        <f>SUM(J332:J334)</f>
        <v>0</v>
      </c>
      <c r="E390" s="17">
        <f>SUM(K332:K334)</f>
        <v>0</v>
      </c>
      <c r="F390" s="17">
        <f>SUM(L332:L334)</f>
        <v>0</v>
      </c>
      <c r="G390" s="17">
        <f t="shared" si="123"/>
        <v>0</v>
      </c>
      <c r="H390" s="17">
        <f t="shared" si="122"/>
        <v>0</v>
      </c>
    </row>
    <row r="391" spans="2:8" x14ac:dyDescent="0.2">
      <c r="B391" s="5" t="s">
        <v>213</v>
      </c>
      <c r="C391" s="4">
        <f t="shared" si="120"/>
        <v>0</v>
      </c>
      <c r="D391" s="17">
        <f>SUM(J335:J337)</f>
        <v>0</v>
      </c>
      <c r="E391" s="17">
        <f>SUM(K335:K337)</f>
        <v>0</v>
      </c>
      <c r="F391" s="17">
        <f>SUM(L335:L337)</f>
        <v>0</v>
      </c>
      <c r="G391" s="17">
        <f t="shared" si="123"/>
        <v>0</v>
      </c>
      <c r="H391" s="17">
        <f t="shared" si="122"/>
        <v>0</v>
      </c>
    </row>
    <row r="392" spans="2:8" x14ac:dyDescent="0.2">
      <c r="B392" s="5" t="s">
        <v>214</v>
      </c>
      <c r="C392" s="4">
        <f t="shared" si="120"/>
        <v>0</v>
      </c>
      <c r="D392" s="17">
        <f>SUM(J338:J340)</f>
        <v>0</v>
      </c>
      <c r="E392" s="17">
        <f>SUM(K338:K340)</f>
        <v>0</v>
      </c>
      <c r="F392" s="17">
        <f>SUM(L338:L340)</f>
        <v>0</v>
      </c>
      <c r="G392" s="17">
        <f t="shared" si="123"/>
        <v>0</v>
      </c>
      <c r="H392" s="17">
        <f t="shared" si="122"/>
        <v>0</v>
      </c>
    </row>
    <row r="393" spans="2:8" x14ac:dyDescent="0.2">
      <c r="B393" s="5" t="s">
        <v>215</v>
      </c>
      <c r="C393" s="4">
        <f t="shared" si="120"/>
        <v>0</v>
      </c>
      <c r="D393" s="17">
        <f>SUM(J341:J343)</f>
        <v>0</v>
      </c>
      <c r="E393" s="17">
        <f>SUM(K341:K343)</f>
        <v>0</v>
      </c>
      <c r="F393" s="17">
        <f>SUM(L341:L343)</f>
        <v>0</v>
      </c>
      <c r="G393" s="17">
        <f t="shared" si="123"/>
        <v>0</v>
      </c>
      <c r="H393" s="17">
        <f t="shared" si="122"/>
        <v>0</v>
      </c>
    </row>
    <row r="394" spans="2:8" x14ac:dyDescent="0.2">
      <c r="B394" s="5" t="s">
        <v>216</v>
      </c>
      <c r="C394" s="4">
        <f t="shared" si="120"/>
        <v>0</v>
      </c>
      <c r="D394" s="17">
        <f>SUM(J344:J346)</f>
        <v>0</v>
      </c>
      <c r="E394" s="17">
        <f>SUM(K344:K346)</f>
        <v>0</v>
      </c>
      <c r="F394" s="17">
        <f>SUM(L344:L346)</f>
        <v>0</v>
      </c>
      <c r="G394" s="17">
        <f t="shared" si="123"/>
        <v>0</v>
      </c>
      <c r="H394" s="17">
        <f t="shared" si="122"/>
        <v>0</v>
      </c>
    </row>
    <row r="395" spans="2:8" x14ac:dyDescent="0.2">
      <c r="B395" s="5" t="s">
        <v>217</v>
      </c>
      <c r="C395" s="4">
        <f t="shared" si="120"/>
        <v>0</v>
      </c>
      <c r="D395" s="17">
        <f>SUM(J347:J349)</f>
        <v>0</v>
      </c>
      <c r="E395" s="17">
        <f>SUM(K347:K349)</f>
        <v>0</v>
      </c>
      <c r="F395" s="17">
        <f>SUM(L347:L349)</f>
        <v>0</v>
      </c>
      <c r="G395" s="17">
        <f t="shared" si="123"/>
        <v>0</v>
      </c>
      <c r="H395" s="17">
        <f t="shared" si="122"/>
        <v>0</v>
      </c>
    </row>
    <row r="396" spans="2:8" x14ac:dyDescent="0.2">
      <c r="B396" s="5" t="s">
        <v>218</v>
      </c>
      <c r="C396" s="4">
        <f t="shared" si="120"/>
        <v>0</v>
      </c>
      <c r="D396" s="17">
        <f>SUM(J350:J352)</f>
        <v>0</v>
      </c>
      <c r="E396" s="17">
        <f>SUM(K350:K352)</f>
        <v>0</v>
      </c>
      <c r="F396" s="17">
        <f>SUM(L350:L352)</f>
        <v>0</v>
      </c>
      <c r="G396" s="17">
        <f t="shared" si="123"/>
        <v>0</v>
      </c>
      <c r="H396" s="17">
        <f t="shared" si="122"/>
        <v>0</v>
      </c>
    </row>
    <row r="397" spans="2:8" x14ac:dyDescent="0.2">
      <c r="B397" s="5" t="s">
        <v>219</v>
      </c>
      <c r="C397" s="4">
        <f t="shared" si="120"/>
        <v>0</v>
      </c>
      <c r="D397" s="17">
        <f>SUM(J353:J355)</f>
        <v>0</v>
      </c>
      <c r="E397" s="17">
        <f>SUM(K353:K355)</f>
        <v>0</v>
      </c>
      <c r="F397" s="17">
        <f>SUM(L353:L355)</f>
        <v>0</v>
      </c>
      <c r="G397" s="17">
        <f t="shared" si="123"/>
        <v>0</v>
      </c>
      <c r="H397" s="17">
        <f t="shared" si="122"/>
        <v>0</v>
      </c>
    </row>
    <row r="398" spans="2:8" x14ac:dyDescent="0.2">
      <c r="B398" s="5" t="s">
        <v>220</v>
      </c>
      <c r="C398" s="4">
        <f t="shared" si="120"/>
        <v>0</v>
      </c>
      <c r="D398" s="17">
        <f>SUM(J356:J358)</f>
        <v>0</v>
      </c>
      <c r="E398" s="17">
        <f>SUM(K356:K358)</f>
        <v>0</v>
      </c>
      <c r="F398" s="17">
        <f>SUM(L356:L358)</f>
        <v>0</v>
      </c>
      <c r="G398" s="17">
        <f t="shared" si="123"/>
        <v>0</v>
      </c>
      <c r="H398" s="17">
        <f t="shared" si="122"/>
        <v>0</v>
      </c>
    </row>
    <row r="399" spans="2:8" x14ac:dyDescent="0.2">
      <c r="B399" s="5" t="s">
        <v>221</v>
      </c>
      <c r="C399" s="4">
        <f t="shared" si="120"/>
        <v>0</v>
      </c>
      <c r="D399" s="17">
        <f>SUM(J359:J361)</f>
        <v>0</v>
      </c>
      <c r="E399" s="17">
        <f>SUM(K359:K361)</f>
        <v>0</v>
      </c>
      <c r="F399" s="17">
        <f>SUM(L359:L361)</f>
        <v>0</v>
      </c>
      <c r="G399" s="17">
        <f t="shared" si="123"/>
        <v>0</v>
      </c>
      <c r="H399" s="17">
        <f t="shared" si="122"/>
        <v>0</v>
      </c>
    </row>
    <row r="400" spans="2:8" x14ac:dyDescent="0.2">
      <c r="B400" s="5" t="s">
        <v>222</v>
      </c>
      <c r="C400" s="4">
        <f t="shared" si="120"/>
        <v>0</v>
      </c>
      <c r="D400" s="17">
        <f>SUM(J362:J364)</f>
        <v>0</v>
      </c>
      <c r="E400" s="17">
        <f>SUM(K362:K364)</f>
        <v>0</v>
      </c>
      <c r="F400" s="17">
        <f>SUM(L362:L364)</f>
        <v>0</v>
      </c>
      <c r="G400" s="17">
        <f t="shared" si="123"/>
        <v>0</v>
      </c>
      <c r="H400" s="17">
        <f t="shared" si="122"/>
        <v>0</v>
      </c>
    </row>
    <row r="401" spans="2:8" x14ac:dyDescent="0.2">
      <c r="B401" s="5" t="s">
        <v>223</v>
      </c>
      <c r="C401" s="4">
        <f t="shared" si="120"/>
        <v>0</v>
      </c>
      <c r="D401" s="17">
        <f>SUM(J365:J367)</f>
        <v>0</v>
      </c>
      <c r="E401" s="17">
        <f>SUM(K365:K367)</f>
        <v>0</v>
      </c>
      <c r="F401" s="17">
        <f>SUM(L365:L367)</f>
        <v>0</v>
      </c>
      <c r="G401" s="17">
        <f t="shared" si="123"/>
        <v>0</v>
      </c>
      <c r="H401" s="17">
        <f t="shared" si="122"/>
        <v>0</v>
      </c>
    </row>
    <row r="402" spans="2:8" x14ac:dyDescent="0.2">
      <c r="B402" s="5" t="s">
        <v>224</v>
      </c>
      <c r="C402" s="4">
        <f t="shared" si="120"/>
        <v>0</v>
      </c>
      <c r="D402" s="17">
        <f>SUM(J368:J370)</f>
        <v>0</v>
      </c>
      <c r="E402" s="17">
        <f>SUM(K368:K370)</f>
        <v>0</v>
      </c>
      <c r="F402" s="17">
        <f>SUM(L368:L370)</f>
        <v>0</v>
      </c>
      <c r="G402" s="17">
        <f t="shared" si="123"/>
        <v>0</v>
      </c>
      <c r="H402" s="17">
        <f t="shared" si="122"/>
        <v>0</v>
      </c>
    </row>
  </sheetData>
  <phoneticPr fontId="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1"/>
  </sheetPr>
  <dimension ref="A1:G48"/>
  <sheetViews>
    <sheetView zoomScale="91" workbookViewId="0">
      <selection activeCell="G3" sqref="G3"/>
    </sheetView>
  </sheetViews>
  <sheetFormatPr defaultRowHeight="13.2" x14ac:dyDescent="0.2"/>
  <cols>
    <col min="2" max="2" width="4.33203125" customWidth="1"/>
    <col min="4" max="4" width="4.33203125" customWidth="1"/>
    <col min="6" max="6" width="4.33203125" customWidth="1"/>
  </cols>
  <sheetData>
    <row r="1" spans="1:7" s="2" customFormat="1" x14ac:dyDescent="0.2">
      <c r="A1" s="2" t="s">
        <v>225</v>
      </c>
      <c r="C1" s="2" t="s">
        <v>226</v>
      </c>
      <c r="E1" s="2" t="s">
        <v>78</v>
      </c>
      <c r="G1" s="2" t="s">
        <v>227</v>
      </c>
    </row>
    <row r="2" spans="1:7" x14ac:dyDescent="0.2">
      <c r="A2" t="s">
        <v>228</v>
      </c>
      <c r="C2">
        <v>1</v>
      </c>
      <c r="G2" t="s">
        <v>559</v>
      </c>
    </row>
    <row r="3" spans="1:7" x14ac:dyDescent="0.2">
      <c r="A3" t="s">
        <v>229</v>
      </c>
      <c r="C3">
        <v>2</v>
      </c>
      <c r="E3" t="s">
        <v>286</v>
      </c>
      <c r="G3" t="s">
        <v>230</v>
      </c>
    </row>
    <row r="4" spans="1:7" x14ac:dyDescent="0.2">
      <c r="A4" t="s">
        <v>231</v>
      </c>
      <c r="C4">
        <v>3</v>
      </c>
      <c r="E4" t="s">
        <v>287</v>
      </c>
    </row>
    <row r="5" spans="1:7" x14ac:dyDescent="0.2">
      <c r="A5" t="s">
        <v>232</v>
      </c>
      <c r="C5">
        <v>4</v>
      </c>
      <c r="E5" t="s">
        <v>288</v>
      </c>
    </row>
    <row r="6" spans="1:7" x14ac:dyDescent="0.2">
      <c r="A6" t="s">
        <v>233</v>
      </c>
      <c r="C6">
        <v>5</v>
      </c>
      <c r="E6" t="s">
        <v>289</v>
      </c>
    </row>
    <row r="7" spans="1:7" x14ac:dyDescent="0.2">
      <c r="A7" t="s">
        <v>234</v>
      </c>
      <c r="C7">
        <v>6</v>
      </c>
      <c r="E7" t="s">
        <v>290</v>
      </c>
    </row>
    <row r="8" spans="1:7" x14ac:dyDescent="0.2">
      <c r="A8" t="s">
        <v>235</v>
      </c>
      <c r="C8">
        <v>7</v>
      </c>
      <c r="E8" t="s">
        <v>291</v>
      </c>
    </row>
    <row r="9" spans="1:7" x14ac:dyDescent="0.2">
      <c r="A9" t="s">
        <v>236</v>
      </c>
      <c r="C9">
        <v>8</v>
      </c>
      <c r="E9" t="s">
        <v>292</v>
      </c>
    </row>
    <row r="10" spans="1:7" x14ac:dyDescent="0.2">
      <c r="A10" t="s">
        <v>237</v>
      </c>
      <c r="C10">
        <v>9</v>
      </c>
    </row>
    <row r="11" spans="1:7" x14ac:dyDescent="0.2">
      <c r="A11" t="s">
        <v>238</v>
      </c>
      <c r="C11">
        <v>10</v>
      </c>
    </row>
    <row r="12" spans="1:7" x14ac:dyDescent="0.2">
      <c r="A12" t="s">
        <v>239</v>
      </c>
      <c r="C12">
        <v>11</v>
      </c>
    </row>
    <row r="13" spans="1:7" x14ac:dyDescent="0.2">
      <c r="A13" t="s">
        <v>240</v>
      </c>
      <c r="C13">
        <v>12</v>
      </c>
    </row>
    <row r="14" spans="1:7" x14ac:dyDescent="0.2">
      <c r="A14" t="s">
        <v>241</v>
      </c>
      <c r="C14">
        <v>13</v>
      </c>
    </row>
    <row r="15" spans="1:7" x14ac:dyDescent="0.2">
      <c r="A15" t="s">
        <v>42</v>
      </c>
      <c r="C15">
        <v>14</v>
      </c>
    </row>
    <row r="16" spans="1:7" x14ac:dyDescent="0.2">
      <c r="A16" t="s">
        <v>242</v>
      </c>
      <c r="C16">
        <v>15</v>
      </c>
    </row>
    <row r="17" spans="1:3" x14ac:dyDescent="0.2">
      <c r="A17" t="s">
        <v>243</v>
      </c>
      <c r="C17">
        <v>16</v>
      </c>
    </row>
    <row r="18" spans="1:3" x14ac:dyDescent="0.2">
      <c r="A18" t="s">
        <v>244</v>
      </c>
      <c r="C18">
        <v>17</v>
      </c>
    </row>
    <row r="19" spans="1:3" x14ac:dyDescent="0.2">
      <c r="A19" t="s">
        <v>245</v>
      </c>
      <c r="C19">
        <v>18</v>
      </c>
    </row>
    <row r="20" spans="1:3" x14ac:dyDescent="0.2">
      <c r="A20" t="s">
        <v>246</v>
      </c>
      <c r="C20">
        <v>19</v>
      </c>
    </row>
    <row r="21" spans="1:3" x14ac:dyDescent="0.2">
      <c r="A21" t="s">
        <v>247</v>
      </c>
      <c r="C21">
        <v>20</v>
      </c>
    </row>
    <row r="22" spans="1:3" x14ac:dyDescent="0.2">
      <c r="A22" t="s">
        <v>248</v>
      </c>
      <c r="C22">
        <v>21</v>
      </c>
    </row>
    <row r="23" spans="1:3" x14ac:dyDescent="0.2">
      <c r="A23" t="s">
        <v>249</v>
      </c>
      <c r="C23">
        <v>22</v>
      </c>
    </row>
    <row r="24" spans="1:3" x14ac:dyDescent="0.2">
      <c r="A24" t="s">
        <v>250</v>
      </c>
      <c r="C24">
        <v>23</v>
      </c>
    </row>
    <row r="25" spans="1:3" x14ac:dyDescent="0.2">
      <c r="A25" t="s">
        <v>251</v>
      </c>
      <c r="C25">
        <v>24</v>
      </c>
    </row>
    <row r="26" spans="1:3" x14ac:dyDescent="0.2">
      <c r="A26" t="s">
        <v>252</v>
      </c>
      <c r="C26">
        <v>25</v>
      </c>
    </row>
    <row r="27" spans="1:3" x14ac:dyDescent="0.2">
      <c r="A27" t="s">
        <v>253</v>
      </c>
      <c r="C27">
        <v>26</v>
      </c>
    </row>
    <row r="28" spans="1:3" x14ac:dyDescent="0.2">
      <c r="A28" t="s">
        <v>254</v>
      </c>
      <c r="C28">
        <v>27</v>
      </c>
    </row>
    <row r="29" spans="1:3" x14ac:dyDescent="0.2">
      <c r="A29" t="s">
        <v>255</v>
      </c>
      <c r="C29">
        <v>28</v>
      </c>
    </row>
    <row r="30" spans="1:3" x14ac:dyDescent="0.2">
      <c r="A30" t="s">
        <v>256</v>
      </c>
      <c r="C30">
        <v>29</v>
      </c>
    </row>
    <row r="31" spans="1:3" x14ac:dyDescent="0.2">
      <c r="A31" t="s">
        <v>257</v>
      </c>
      <c r="C31">
        <v>30</v>
      </c>
    </row>
    <row r="32" spans="1:3" x14ac:dyDescent="0.2">
      <c r="A32" t="s">
        <v>258</v>
      </c>
    </row>
    <row r="33" spans="1:1" x14ac:dyDescent="0.2">
      <c r="A33" t="s">
        <v>259</v>
      </c>
    </row>
    <row r="34" spans="1:1" x14ac:dyDescent="0.2">
      <c r="A34" t="s">
        <v>260</v>
      </c>
    </row>
    <row r="35" spans="1:1" x14ac:dyDescent="0.2">
      <c r="A35" t="s">
        <v>261</v>
      </c>
    </row>
    <row r="36" spans="1:1" x14ac:dyDescent="0.2">
      <c r="A36" t="s">
        <v>262</v>
      </c>
    </row>
    <row r="37" spans="1:1" x14ac:dyDescent="0.2">
      <c r="A37" t="s">
        <v>263</v>
      </c>
    </row>
    <row r="38" spans="1:1" x14ac:dyDescent="0.2">
      <c r="A38" t="s">
        <v>264</v>
      </c>
    </row>
    <row r="39" spans="1:1" x14ac:dyDescent="0.2">
      <c r="A39" t="s">
        <v>265</v>
      </c>
    </row>
    <row r="40" spans="1:1" x14ac:dyDescent="0.2">
      <c r="A40" t="s">
        <v>266</v>
      </c>
    </row>
    <row r="41" spans="1:1" x14ac:dyDescent="0.2">
      <c r="A41" t="s">
        <v>267</v>
      </c>
    </row>
    <row r="42" spans="1:1" x14ac:dyDescent="0.2">
      <c r="A42" t="s">
        <v>268</v>
      </c>
    </row>
    <row r="43" spans="1:1" x14ac:dyDescent="0.2">
      <c r="A43" t="s">
        <v>269</v>
      </c>
    </row>
    <row r="44" spans="1:1" x14ac:dyDescent="0.2">
      <c r="A44" t="s">
        <v>270</v>
      </c>
    </row>
    <row r="45" spans="1:1" x14ac:dyDescent="0.2">
      <c r="A45" t="s">
        <v>271</v>
      </c>
    </row>
    <row r="46" spans="1:1" x14ac:dyDescent="0.2">
      <c r="A46" t="s">
        <v>272</v>
      </c>
    </row>
    <row r="47" spans="1:1" x14ac:dyDescent="0.2">
      <c r="A47" t="s">
        <v>273</v>
      </c>
    </row>
    <row r="48" spans="1:1" x14ac:dyDescent="0.2">
      <c r="A48" t="s">
        <v>274</v>
      </c>
    </row>
  </sheetData>
  <phoneticPr fontId="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C75F-F731-4935-83F0-45E09D9A3EE3}">
  <sheetPr>
    <tabColor theme="1"/>
  </sheetPr>
  <dimension ref="A1:M143"/>
  <sheetViews>
    <sheetView workbookViewId="0">
      <pane ySplit="1" topLeftCell="A2" activePane="bottomLeft" state="frozen"/>
      <selection activeCell="F379" sqref="F379:H379"/>
      <selection pane="bottomLeft" activeCell="B1" sqref="B1"/>
    </sheetView>
  </sheetViews>
  <sheetFormatPr defaultColWidth="9" defaultRowHeight="13.2" x14ac:dyDescent="0.2"/>
  <cols>
    <col min="1" max="1" width="9" style="24"/>
    <col min="2" max="2" width="40.21875" style="24" customWidth="1"/>
    <col min="3" max="4" width="5.44140625" style="24" customWidth="1"/>
    <col min="5" max="5" width="5.44140625" style="27" customWidth="1"/>
    <col min="6" max="6" width="5.44140625" style="24" customWidth="1"/>
    <col min="7" max="7" width="41.6640625" style="24" customWidth="1"/>
    <col min="8" max="8" width="25.21875" style="24" customWidth="1"/>
    <col min="9" max="9" width="19" style="24" customWidth="1"/>
    <col min="10" max="16384" width="9" style="24"/>
  </cols>
  <sheetData>
    <row r="1" spans="1:13" x14ac:dyDescent="0.2">
      <c r="A1" s="24" t="s">
        <v>275</v>
      </c>
      <c r="B1" s="134" t="s">
        <v>582</v>
      </c>
      <c r="C1" s="25" t="s">
        <v>166</v>
      </c>
      <c r="D1" s="25" t="s">
        <v>167</v>
      </c>
      <c r="E1" s="25" t="s">
        <v>168</v>
      </c>
      <c r="F1" s="25" t="s">
        <v>169</v>
      </c>
      <c r="G1" s="24" t="s">
        <v>27</v>
      </c>
      <c r="H1" s="24" t="s">
        <v>276</v>
      </c>
      <c r="I1" s="24" t="s">
        <v>277</v>
      </c>
      <c r="J1" s="24" t="s">
        <v>278</v>
      </c>
      <c r="K1" s="24" t="s">
        <v>279</v>
      </c>
    </row>
    <row r="2" spans="1:13" x14ac:dyDescent="0.2">
      <c r="A2" s="24" t="s">
        <v>323</v>
      </c>
      <c r="B2" s="24" t="s">
        <v>317</v>
      </c>
      <c r="C2" s="26"/>
      <c r="D2" s="26"/>
      <c r="E2" s="26"/>
      <c r="F2" s="26"/>
      <c r="J2" s="60"/>
      <c r="M2" s="69"/>
    </row>
    <row r="3" spans="1:13" x14ac:dyDescent="0.2">
      <c r="A3" s="24" t="s">
        <v>324</v>
      </c>
      <c r="B3" s="24" t="s">
        <v>318</v>
      </c>
      <c r="C3" s="26"/>
      <c r="D3" s="26"/>
      <c r="E3" s="26"/>
      <c r="F3" s="26"/>
      <c r="M3" s="69"/>
    </row>
    <row r="4" spans="1:13" x14ac:dyDescent="0.2">
      <c r="A4" s="24" t="s">
        <v>325</v>
      </c>
      <c r="B4" s="24" t="s">
        <v>319</v>
      </c>
      <c r="C4" s="26"/>
      <c r="D4" s="26"/>
      <c r="E4" s="26"/>
      <c r="F4" s="26"/>
      <c r="M4" s="69"/>
    </row>
    <row r="5" spans="1:13" x14ac:dyDescent="0.2">
      <c r="A5" s="24" t="s">
        <v>326</v>
      </c>
      <c r="B5" s="24" t="s">
        <v>320</v>
      </c>
      <c r="C5" s="26"/>
      <c r="D5" s="26"/>
      <c r="E5" s="26"/>
      <c r="F5" s="26"/>
      <c r="M5" s="69"/>
    </row>
    <row r="6" spans="1:13" x14ac:dyDescent="0.2">
      <c r="A6" s="24" t="s">
        <v>327</v>
      </c>
      <c r="B6" s="24" t="s">
        <v>321</v>
      </c>
      <c r="C6" s="26"/>
      <c r="D6" s="26"/>
      <c r="E6" s="26"/>
      <c r="F6" s="26"/>
      <c r="M6" s="69"/>
    </row>
    <row r="7" spans="1:13" x14ac:dyDescent="0.2">
      <c r="A7" s="24" t="s">
        <v>328</v>
      </c>
      <c r="B7" s="24" t="s">
        <v>322</v>
      </c>
      <c r="C7" s="26"/>
      <c r="D7" s="26"/>
      <c r="E7" s="26"/>
      <c r="F7" s="26"/>
    </row>
    <row r="8" spans="1:13" x14ac:dyDescent="0.2">
      <c r="A8" s="24" t="s">
        <v>329</v>
      </c>
      <c r="B8" s="24" t="s">
        <v>317</v>
      </c>
      <c r="C8" s="26"/>
      <c r="D8" s="26"/>
      <c r="E8" s="26"/>
      <c r="F8" s="26"/>
    </row>
    <row r="9" spans="1:13" x14ac:dyDescent="0.2">
      <c r="A9" s="24" t="s">
        <v>330</v>
      </c>
      <c r="B9" s="24" t="s">
        <v>318</v>
      </c>
      <c r="C9" s="26"/>
      <c r="D9" s="26"/>
      <c r="E9" s="26"/>
      <c r="F9" s="26"/>
    </row>
    <row r="10" spans="1:13" x14ac:dyDescent="0.2">
      <c r="A10" s="24" t="s">
        <v>331</v>
      </c>
      <c r="B10" s="24" t="s">
        <v>319</v>
      </c>
      <c r="C10" s="26"/>
      <c r="D10" s="26"/>
      <c r="E10" s="26"/>
      <c r="F10" s="26"/>
    </row>
    <row r="11" spans="1:13" x14ac:dyDescent="0.2">
      <c r="A11" s="24" t="s">
        <v>332</v>
      </c>
      <c r="B11" s="24" t="s">
        <v>320</v>
      </c>
      <c r="C11" s="26"/>
      <c r="D11" s="26"/>
      <c r="E11" s="26"/>
      <c r="F11" s="26"/>
    </row>
    <row r="12" spans="1:13" x14ac:dyDescent="0.2">
      <c r="A12" s="24" t="s">
        <v>333</v>
      </c>
      <c r="B12" s="24" t="s">
        <v>321</v>
      </c>
      <c r="C12" s="26"/>
      <c r="D12" s="26"/>
      <c r="E12" s="26"/>
      <c r="F12" s="26"/>
    </row>
    <row r="13" spans="1:13" x14ac:dyDescent="0.2">
      <c r="A13" s="24" t="s">
        <v>334</v>
      </c>
      <c r="B13" s="24" t="s">
        <v>322</v>
      </c>
      <c r="C13" s="26"/>
      <c r="D13" s="26"/>
      <c r="E13" s="26"/>
      <c r="F13" s="26"/>
    </row>
    <row r="14" spans="1:13" x14ac:dyDescent="0.2">
      <c r="A14" s="24" t="s">
        <v>335</v>
      </c>
      <c r="B14" s="24" t="s">
        <v>317</v>
      </c>
      <c r="C14" s="26"/>
      <c r="D14" s="26"/>
      <c r="E14" s="26"/>
      <c r="F14" s="26"/>
    </row>
    <row r="15" spans="1:13" x14ac:dyDescent="0.2">
      <c r="A15" s="24" t="s">
        <v>336</v>
      </c>
      <c r="B15" s="24" t="s">
        <v>318</v>
      </c>
      <c r="C15" s="26"/>
      <c r="D15" s="26"/>
      <c r="E15" s="64"/>
      <c r="F15" s="26"/>
      <c r="G15" s="60"/>
      <c r="H15" s="60"/>
      <c r="I15" s="60"/>
      <c r="J15" s="60"/>
    </row>
    <row r="16" spans="1:13" x14ac:dyDescent="0.2">
      <c r="A16" s="24" t="s">
        <v>337</v>
      </c>
      <c r="B16" s="24" t="s">
        <v>319</v>
      </c>
      <c r="C16" s="26"/>
      <c r="D16" s="26"/>
      <c r="E16" s="26"/>
      <c r="F16" s="26"/>
    </row>
    <row r="17" spans="1:10" x14ac:dyDescent="0.2">
      <c r="A17" s="24" t="s">
        <v>338</v>
      </c>
      <c r="B17" s="24" t="s">
        <v>320</v>
      </c>
      <c r="C17" s="26"/>
      <c r="D17" s="26"/>
      <c r="E17" s="26"/>
      <c r="F17" s="26"/>
    </row>
    <row r="18" spans="1:10" x14ac:dyDescent="0.2">
      <c r="A18" s="24" t="s">
        <v>339</v>
      </c>
      <c r="B18" s="24" t="s">
        <v>321</v>
      </c>
      <c r="C18" s="26"/>
      <c r="D18" s="26"/>
      <c r="E18" s="26"/>
      <c r="F18" s="26"/>
    </row>
    <row r="19" spans="1:10" x14ac:dyDescent="0.2">
      <c r="A19" s="24" t="s">
        <v>340</v>
      </c>
      <c r="B19" s="24" t="s">
        <v>322</v>
      </c>
      <c r="C19" s="26"/>
      <c r="D19" s="26"/>
      <c r="E19" s="26"/>
      <c r="F19" s="26"/>
    </row>
    <row r="20" spans="1:10" x14ac:dyDescent="0.2">
      <c r="A20" s="24" t="s">
        <v>341</v>
      </c>
      <c r="B20" s="24" t="s">
        <v>420</v>
      </c>
      <c r="C20" s="26"/>
      <c r="D20" s="26"/>
      <c r="E20" s="26"/>
      <c r="F20" s="26"/>
    </row>
    <row r="21" spans="1:10" x14ac:dyDescent="0.2">
      <c r="A21" s="24" t="s">
        <v>342</v>
      </c>
      <c r="B21" s="24" t="s">
        <v>421</v>
      </c>
      <c r="C21" s="26"/>
      <c r="D21" s="26"/>
      <c r="E21" s="26"/>
      <c r="F21" s="26"/>
    </row>
    <row r="22" spans="1:10" x14ac:dyDescent="0.2">
      <c r="A22" s="24" t="s">
        <v>343</v>
      </c>
      <c r="B22" s="24" t="s">
        <v>422</v>
      </c>
      <c r="C22" s="26"/>
      <c r="D22" s="26"/>
      <c r="E22" s="26"/>
      <c r="F22" s="26"/>
    </row>
    <row r="23" spans="1:10" x14ac:dyDescent="0.2">
      <c r="A23" s="24" t="s">
        <v>344</v>
      </c>
      <c r="B23" s="24" t="s">
        <v>423</v>
      </c>
      <c r="C23" s="26"/>
      <c r="D23" s="26"/>
      <c r="E23" s="26"/>
      <c r="F23" s="26"/>
    </row>
    <row r="24" spans="1:10" x14ac:dyDescent="0.2">
      <c r="A24" s="24" t="s">
        <v>345</v>
      </c>
      <c r="B24" s="24" t="s">
        <v>424</v>
      </c>
      <c r="C24" s="26"/>
      <c r="D24" s="26"/>
      <c r="E24" s="26"/>
      <c r="F24" s="26"/>
      <c r="G24" s="60"/>
      <c r="H24" s="60"/>
    </row>
    <row r="25" spans="1:10" x14ac:dyDescent="0.2">
      <c r="A25" s="24" t="s">
        <v>346</v>
      </c>
      <c r="B25" s="24" t="s">
        <v>425</v>
      </c>
      <c r="C25" s="26"/>
      <c r="D25" s="26"/>
      <c r="E25" s="26"/>
      <c r="F25" s="26"/>
      <c r="G25" s="60"/>
      <c r="H25" s="60"/>
    </row>
    <row r="26" spans="1:10" x14ac:dyDescent="0.2">
      <c r="A26" s="24" t="s">
        <v>347</v>
      </c>
      <c r="B26" s="24" t="s">
        <v>426</v>
      </c>
      <c r="C26" s="26"/>
      <c r="D26" s="26"/>
      <c r="E26" s="26"/>
      <c r="F26" s="26"/>
    </row>
    <row r="27" spans="1:10" x14ac:dyDescent="0.2">
      <c r="A27" s="24" t="s">
        <v>348</v>
      </c>
      <c r="B27" s="24" t="s">
        <v>427</v>
      </c>
      <c r="C27" s="26"/>
      <c r="D27" s="26"/>
      <c r="E27" s="26"/>
      <c r="F27" s="26"/>
    </row>
    <row r="28" spans="1:10" x14ac:dyDescent="0.2">
      <c r="A28" s="24" t="s">
        <v>349</v>
      </c>
      <c r="B28" s="24" t="s">
        <v>428</v>
      </c>
      <c r="C28" s="26"/>
      <c r="D28" s="26"/>
      <c r="E28" s="26"/>
      <c r="F28" s="26"/>
    </row>
    <row r="29" spans="1:10" x14ac:dyDescent="0.2">
      <c r="A29" s="24" t="s">
        <v>350</v>
      </c>
      <c r="B29" s="24" t="s">
        <v>429</v>
      </c>
      <c r="C29" s="26"/>
      <c r="D29" s="26"/>
      <c r="E29" s="26"/>
      <c r="F29" s="26"/>
    </row>
    <row r="30" spans="1:10" x14ac:dyDescent="0.2">
      <c r="A30" s="24" t="s">
        <v>351</v>
      </c>
      <c r="B30" s="24" t="s">
        <v>430</v>
      </c>
      <c r="C30" s="26"/>
      <c r="D30" s="26"/>
      <c r="E30" s="26"/>
      <c r="F30" s="26"/>
    </row>
    <row r="31" spans="1:10" x14ac:dyDescent="0.2">
      <c r="A31" s="24" t="s">
        <v>352</v>
      </c>
      <c r="B31" s="24" t="s">
        <v>431</v>
      </c>
      <c r="C31" s="26"/>
      <c r="D31" s="64"/>
      <c r="E31" s="26"/>
      <c r="F31" s="26"/>
      <c r="G31" s="60"/>
      <c r="H31" s="60"/>
      <c r="I31" s="60"/>
      <c r="J31" s="60"/>
    </row>
    <row r="32" spans="1:10" x14ac:dyDescent="0.2">
      <c r="A32" s="24" t="s">
        <v>353</v>
      </c>
      <c r="B32" s="24" t="s">
        <v>432</v>
      </c>
      <c r="C32" s="26"/>
      <c r="D32" s="26"/>
      <c r="E32" s="26"/>
      <c r="F32" s="26"/>
    </row>
    <row r="33" spans="1:10" x14ac:dyDescent="0.2">
      <c r="A33" s="24" t="s">
        <v>354</v>
      </c>
      <c r="B33" s="24" t="s">
        <v>433</v>
      </c>
      <c r="C33" s="26"/>
      <c r="D33" s="26"/>
      <c r="E33" s="26"/>
      <c r="F33" s="26"/>
    </row>
    <row r="34" spans="1:10" x14ac:dyDescent="0.2">
      <c r="A34" s="24" t="s">
        <v>355</v>
      </c>
      <c r="B34" s="24" t="s">
        <v>434</v>
      </c>
      <c r="C34" s="26"/>
      <c r="D34" s="26"/>
      <c r="E34" s="26"/>
      <c r="F34" s="26"/>
    </row>
    <row r="35" spans="1:10" x14ac:dyDescent="0.2">
      <c r="A35" s="24" t="s">
        <v>356</v>
      </c>
      <c r="B35" s="24" t="s">
        <v>435</v>
      </c>
      <c r="C35" s="26"/>
      <c r="D35" s="26"/>
      <c r="E35" s="26"/>
      <c r="F35" s="26"/>
    </row>
    <row r="36" spans="1:10" x14ac:dyDescent="0.2">
      <c r="A36" s="24" t="s">
        <v>357</v>
      </c>
      <c r="B36" s="24" t="s">
        <v>436</v>
      </c>
      <c r="C36" s="26"/>
      <c r="D36" s="26"/>
      <c r="E36" s="26"/>
      <c r="F36" s="26"/>
    </row>
    <row r="37" spans="1:10" x14ac:dyDescent="0.2">
      <c r="A37" s="24" t="s">
        <v>358</v>
      </c>
      <c r="B37" s="24" t="s">
        <v>437</v>
      </c>
      <c r="C37" s="26"/>
      <c r="D37" s="26"/>
      <c r="E37" s="26"/>
      <c r="F37" s="26"/>
    </row>
    <row r="38" spans="1:10" x14ac:dyDescent="0.2">
      <c r="A38" s="24" t="s">
        <v>359</v>
      </c>
      <c r="B38" s="24" t="s">
        <v>438</v>
      </c>
      <c r="C38" s="26"/>
      <c r="D38" s="26"/>
      <c r="E38" s="26"/>
      <c r="F38" s="26"/>
    </row>
    <row r="39" spans="1:10" x14ac:dyDescent="0.2">
      <c r="A39" s="24" t="s">
        <v>360</v>
      </c>
      <c r="B39" s="24" t="s">
        <v>439</v>
      </c>
      <c r="C39" s="26"/>
      <c r="D39" s="26"/>
      <c r="E39" s="26"/>
      <c r="F39" s="26"/>
    </row>
    <row r="40" spans="1:10" x14ac:dyDescent="0.2">
      <c r="A40" s="24" t="s">
        <v>361</v>
      </c>
      <c r="B40" s="24" t="s">
        <v>440</v>
      </c>
      <c r="C40" s="26"/>
      <c r="D40" s="26"/>
      <c r="E40" s="26"/>
      <c r="F40" s="26"/>
    </row>
    <row r="41" spans="1:10" x14ac:dyDescent="0.2">
      <c r="A41" s="24" t="s">
        <v>362</v>
      </c>
      <c r="B41" s="24" t="s">
        <v>441</v>
      </c>
      <c r="C41" s="26"/>
      <c r="D41" s="26"/>
      <c r="E41" s="26"/>
      <c r="F41" s="26"/>
    </row>
    <row r="42" spans="1:10" x14ac:dyDescent="0.2">
      <c r="A42" s="24" t="s">
        <v>363</v>
      </c>
      <c r="B42" s="24" t="s">
        <v>442</v>
      </c>
      <c r="C42" s="26"/>
      <c r="D42" s="26"/>
      <c r="E42" s="26"/>
      <c r="F42" s="26"/>
    </row>
    <row r="43" spans="1:10" x14ac:dyDescent="0.2">
      <c r="A43" s="24" t="s">
        <v>364</v>
      </c>
      <c r="B43" s="24" t="s">
        <v>443</v>
      </c>
      <c r="C43" s="26"/>
      <c r="D43" s="26"/>
      <c r="E43" s="26"/>
      <c r="F43" s="26"/>
    </row>
    <row r="44" spans="1:10" x14ac:dyDescent="0.2">
      <c r="A44" s="24" t="s">
        <v>365</v>
      </c>
      <c r="B44" s="24" t="s">
        <v>444</v>
      </c>
      <c r="C44" s="26"/>
      <c r="D44" s="26"/>
      <c r="E44" s="26"/>
      <c r="F44" s="26"/>
    </row>
    <row r="45" spans="1:10" x14ac:dyDescent="0.2">
      <c r="A45" s="24" t="s">
        <v>366</v>
      </c>
      <c r="B45" s="24" t="s">
        <v>445</v>
      </c>
      <c r="C45" s="26"/>
      <c r="D45" s="26"/>
      <c r="E45" s="26"/>
      <c r="F45" s="26"/>
    </row>
    <row r="46" spans="1:10" x14ac:dyDescent="0.2">
      <c r="A46" s="24" t="s">
        <v>367</v>
      </c>
      <c r="B46" s="24" t="s">
        <v>446</v>
      </c>
      <c r="C46" s="26"/>
      <c r="D46" s="26"/>
      <c r="E46" s="26"/>
      <c r="F46" s="26"/>
    </row>
    <row r="47" spans="1:10" x14ac:dyDescent="0.2">
      <c r="A47" s="24" t="s">
        <v>368</v>
      </c>
      <c r="B47" s="24" t="s">
        <v>447</v>
      </c>
      <c r="C47" s="26"/>
      <c r="D47" s="26"/>
      <c r="E47" s="26"/>
      <c r="F47" s="26"/>
      <c r="G47" s="60"/>
      <c r="H47" s="60"/>
      <c r="I47" s="60"/>
      <c r="J47" s="60"/>
    </row>
    <row r="48" spans="1:10" x14ac:dyDescent="0.2">
      <c r="A48" s="24" t="s">
        <v>369</v>
      </c>
      <c r="B48" s="24" t="s">
        <v>448</v>
      </c>
      <c r="C48" s="26"/>
      <c r="D48" s="26"/>
      <c r="E48" s="26"/>
      <c r="F48" s="26"/>
    </row>
    <row r="49" spans="1:8" x14ac:dyDescent="0.2">
      <c r="A49" s="24" t="s">
        <v>370</v>
      </c>
      <c r="B49" s="24" t="s">
        <v>449</v>
      </c>
      <c r="C49" s="26"/>
      <c r="D49" s="26"/>
      <c r="E49" s="26"/>
      <c r="F49" s="26"/>
    </row>
    <row r="50" spans="1:8" x14ac:dyDescent="0.2">
      <c r="A50" s="24" t="s">
        <v>479</v>
      </c>
      <c r="B50" s="24" t="s">
        <v>491</v>
      </c>
      <c r="C50" s="26"/>
      <c r="D50" s="26"/>
      <c r="E50" s="26"/>
      <c r="F50" s="26"/>
    </row>
    <row r="51" spans="1:8" x14ac:dyDescent="0.2">
      <c r="A51" s="24" t="s">
        <v>480</v>
      </c>
      <c r="B51" s="24" t="s">
        <v>492</v>
      </c>
      <c r="C51" s="26"/>
      <c r="D51" s="26"/>
      <c r="E51" s="26"/>
      <c r="F51" s="26"/>
    </row>
    <row r="52" spans="1:8" x14ac:dyDescent="0.2">
      <c r="A52" s="24" t="s">
        <v>481</v>
      </c>
      <c r="B52" s="24" t="s">
        <v>493</v>
      </c>
      <c r="C52" s="26"/>
      <c r="D52" s="26"/>
      <c r="E52" s="26"/>
      <c r="F52" s="26"/>
    </row>
    <row r="53" spans="1:8" x14ac:dyDescent="0.2">
      <c r="A53" s="24" t="s">
        <v>482</v>
      </c>
      <c r="B53" s="24" t="s">
        <v>494</v>
      </c>
      <c r="C53" s="26"/>
      <c r="D53" s="26"/>
      <c r="E53" s="26"/>
      <c r="F53" s="26"/>
    </row>
    <row r="54" spans="1:8" x14ac:dyDescent="0.2">
      <c r="A54" s="24" t="s">
        <v>483</v>
      </c>
      <c r="B54" s="24" t="s">
        <v>458</v>
      </c>
      <c r="C54" s="26"/>
      <c r="D54" s="26"/>
      <c r="E54" s="26"/>
      <c r="F54" s="26"/>
      <c r="G54" s="60"/>
      <c r="H54" s="60"/>
    </row>
    <row r="55" spans="1:8" x14ac:dyDescent="0.2">
      <c r="A55" s="24" t="s">
        <v>371</v>
      </c>
      <c r="B55" s="24" t="s">
        <v>495</v>
      </c>
      <c r="C55" s="26"/>
      <c r="D55" s="26"/>
      <c r="E55" s="26"/>
      <c r="F55" s="26"/>
    </row>
    <row r="56" spans="1:8" x14ac:dyDescent="0.2">
      <c r="A56" s="24" t="s">
        <v>372</v>
      </c>
      <c r="B56" s="24" t="s">
        <v>496</v>
      </c>
      <c r="C56" s="26"/>
      <c r="D56" s="26"/>
      <c r="E56" s="26"/>
      <c r="F56" s="26"/>
    </row>
    <row r="57" spans="1:8" x14ac:dyDescent="0.2">
      <c r="A57" s="24" t="s">
        <v>373</v>
      </c>
      <c r="B57" s="24" t="s">
        <v>450</v>
      </c>
      <c r="C57" s="26"/>
      <c r="D57" s="26"/>
      <c r="E57" s="26"/>
      <c r="F57" s="26"/>
    </row>
    <row r="58" spans="1:8" x14ac:dyDescent="0.2">
      <c r="A58" s="24" t="s">
        <v>374</v>
      </c>
      <c r="B58" s="24" t="s">
        <v>451</v>
      </c>
      <c r="C58" s="26"/>
      <c r="D58" s="26"/>
      <c r="E58" s="26"/>
      <c r="F58" s="26"/>
    </row>
    <row r="59" spans="1:8" x14ac:dyDescent="0.2">
      <c r="A59" s="24" t="s">
        <v>375</v>
      </c>
      <c r="B59" s="24" t="s">
        <v>452</v>
      </c>
      <c r="C59" s="26"/>
      <c r="D59" s="26"/>
      <c r="E59" s="26"/>
      <c r="F59" s="26"/>
    </row>
    <row r="60" spans="1:8" x14ac:dyDescent="0.2">
      <c r="A60" s="24" t="s">
        <v>376</v>
      </c>
      <c r="B60" s="24" t="s">
        <v>453</v>
      </c>
      <c r="C60" s="26"/>
      <c r="D60" s="26"/>
      <c r="E60" s="26"/>
      <c r="F60" s="26"/>
    </row>
    <row r="61" spans="1:8" x14ac:dyDescent="0.2">
      <c r="A61" s="24" t="s">
        <v>377</v>
      </c>
      <c r="B61" s="24" t="s">
        <v>454</v>
      </c>
      <c r="C61" s="26"/>
      <c r="D61" s="26"/>
      <c r="E61" s="26"/>
      <c r="F61" s="26"/>
    </row>
    <row r="62" spans="1:8" x14ac:dyDescent="0.2">
      <c r="A62" s="24" t="s">
        <v>378</v>
      </c>
      <c r="B62" s="24" t="s">
        <v>455</v>
      </c>
      <c r="C62" s="26"/>
      <c r="D62" s="26"/>
      <c r="E62" s="26"/>
      <c r="F62" s="26"/>
      <c r="G62" s="60"/>
      <c r="H62" s="60"/>
    </row>
    <row r="63" spans="1:8" x14ac:dyDescent="0.2">
      <c r="A63" s="24" t="s">
        <v>379</v>
      </c>
      <c r="B63" s="24" t="s">
        <v>456</v>
      </c>
      <c r="C63" s="26"/>
      <c r="D63" s="26"/>
      <c r="E63" s="26"/>
      <c r="F63" s="26"/>
    </row>
    <row r="64" spans="1:8" x14ac:dyDescent="0.2">
      <c r="A64" s="24" t="s">
        <v>380</v>
      </c>
      <c r="B64" s="24" t="s">
        <v>451</v>
      </c>
      <c r="C64" s="26"/>
      <c r="D64" s="26"/>
      <c r="E64" s="26"/>
      <c r="F64" s="26"/>
    </row>
    <row r="65" spans="1:10" x14ac:dyDescent="0.2">
      <c r="A65" s="24" t="s">
        <v>522</v>
      </c>
      <c r="B65" s="76" t="s">
        <v>524</v>
      </c>
      <c r="C65" s="26"/>
      <c r="D65" s="26"/>
      <c r="E65" s="26"/>
      <c r="F65" s="26"/>
    </row>
    <row r="66" spans="1:10" x14ac:dyDescent="0.2">
      <c r="A66" s="24" t="s">
        <v>523</v>
      </c>
      <c r="B66" s="76" t="s">
        <v>525</v>
      </c>
      <c r="C66" s="26"/>
      <c r="D66" s="26"/>
      <c r="E66" s="26"/>
      <c r="F66" s="26"/>
    </row>
    <row r="67" spans="1:10" x14ac:dyDescent="0.2">
      <c r="A67" s="24" t="s">
        <v>381</v>
      </c>
      <c r="B67" s="24" t="s">
        <v>454</v>
      </c>
      <c r="C67" s="26"/>
      <c r="D67" s="26"/>
      <c r="E67" s="26"/>
      <c r="F67" s="26"/>
    </row>
    <row r="68" spans="1:10" x14ac:dyDescent="0.2">
      <c r="A68" s="24" t="s">
        <v>382</v>
      </c>
      <c r="B68" s="24" t="s">
        <v>457</v>
      </c>
      <c r="C68" s="26"/>
      <c r="D68" s="26"/>
      <c r="E68" s="26"/>
      <c r="F68" s="26"/>
    </row>
    <row r="69" spans="1:10" x14ac:dyDescent="0.2">
      <c r="A69" s="24" t="s">
        <v>383</v>
      </c>
      <c r="B69" s="24" t="s">
        <v>454</v>
      </c>
      <c r="C69" s="26"/>
      <c r="D69" s="26"/>
      <c r="E69" s="26"/>
      <c r="F69" s="26"/>
    </row>
    <row r="70" spans="1:10" x14ac:dyDescent="0.2">
      <c r="A70" s="24" t="s">
        <v>384</v>
      </c>
      <c r="B70" s="24" t="s">
        <v>458</v>
      </c>
      <c r="C70" s="26"/>
      <c r="D70" s="26"/>
      <c r="E70" s="26"/>
      <c r="F70" s="26"/>
    </row>
    <row r="71" spans="1:10" x14ac:dyDescent="0.2">
      <c r="A71" s="24" t="s">
        <v>385</v>
      </c>
      <c r="B71" s="24" t="s">
        <v>457</v>
      </c>
      <c r="C71" s="26"/>
      <c r="D71" s="64"/>
      <c r="E71" s="26"/>
      <c r="F71" s="26"/>
      <c r="G71" s="60"/>
      <c r="H71" s="60"/>
      <c r="I71" s="60"/>
      <c r="J71" s="60"/>
    </row>
    <row r="72" spans="1:10" x14ac:dyDescent="0.2">
      <c r="A72" s="24" t="s">
        <v>386</v>
      </c>
      <c r="B72" s="24" t="s">
        <v>459</v>
      </c>
      <c r="C72" s="26"/>
      <c r="D72" s="26"/>
      <c r="E72" s="26"/>
      <c r="F72" s="26"/>
    </row>
    <row r="73" spans="1:10" x14ac:dyDescent="0.2">
      <c r="A73" s="24" t="s">
        <v>526</v>
      </c>
      <c r="B73" s="76" t="s">
        <v>528</v>
      </c>
      <c r="C73" s="26"/>
      <c r="D73" s="26"/>
      <c r="E73" s="26"/>
      <c r="F73" s="26"/>
    </row>
    <row r="74" spans="1:10" x14ac:dyDescent="0.2">
      <c r="A74" s="24" t="s">
        <v>527</v>
      </c>
      <c r="B74" s="76" t="s">
        <v>529</v>
      </c>
      <c r="C74" s="26"/>
      <c r="D74" s="26"/>
      <c r="E74" s="26"/>
      <c r="F74" s="26"/>
    </row>
    <row r="75" spans="1:10" x14ac:dyDescent="0.2">
      <c r="A75" s="24" t="s">
        <v>387</v>
      </c>
      <c r="B75" s="24" t="s">
        <v>460</v>
      </c>
      <c r="C75" s="26"/>
      <c r="D75" s="26"/>
      <c r="E75" s="26"/>
      <c r="F75" s="26"/>
    </row>
    <row r="76" spans="1:10" x14ac:dyDescent="0.2">
      <c r="A76" s="24" t="s">
        <v>388</v>
      </c>
      <c r="B76" s="24" t="s">
        <v>456</v>
      </c>
      <c r="C76" s="26"/>
      <c r="D76" s="26"/>
      <c r="E76" s="26"/>
      <c r="F76" s="26"/>
    </row>
    <row r="77" spans="1:10" x14ac:dyDescent="0.2">
      <c r="A77" s="24" t="s">
        <v>389</v>
      </c>
      <c r="B77" s="24" t="s">
        <v>461</v>
      </c>
      <c r="C77" s="26"/>
      <c r="D77" s="26"/>
      <c r="E77" s="26"/>
      <c r="F77" s="26"/>
      <c r="I77" s="28"/>
    </row>
    <row r="78" spans="1:10" x14ac:dyDescent="0.2">
      <c r="A78" s="24" t="s">
        <v>390</v>
      </c>
      <c r="B78" s="24" t="s">
        <v>462</v>
      </c>
      <c r="C78" s="26"/>
      <c r="D78" s="26"/>
      <c r="E78" s="26"/>
      <c r="F78" s="26"/>
      <c r="I78" s="28"/>
    </row>
    <row r="79" spans="1:10" x14ac:dyDescent="0.2">
      <c r="A79" s="24" t="s">
        <v>391</v>
      </c>
      <c r="B79" s="24" t="s">
        <v>463</v>
      </c>
      <c r="C79" s="26"/>
      <c r="D79" s="26"/>
      <c r="E79" s="26"/>
      <c r="F79" s="26"/>
      <c r="I79" s="28"/>
    </row>
    <row r="80" spans="1:10" x14ac:dyDescent="0.2">
      <c r="A80" s="24" t="s">
        <v>392</v>
      </c>
      <c r="B80" s="24" t="s">
        <v>464</v>
      </c>
      <c r="C80" s="26"/>
      <c r="D80" s="26"/>
      <c r="E80" s="26"/>
      <c r="F80" s="26"/>
      <c r="I80" s="28"/>
    </row>
    <row r="81" spans="1:13" x14ac:dyDescent="0.2">
      <c r="A81" s="24" t="s">
        <v>393</v>
      </c>
      <c r="B81" s="24" t="s">
        <v>465</v>
      </c>
      <c r="C81" s="26"/>
      <c r="D81" s="26"/>
      <c r="E81" s="26"/>
      <c r="F81" s="26"/>
      <c r="I81" s="28"/>
    </row>
    <row r="82" spans="1:13" x14ac:dyDescent="0.2">
      <c r="A82" s="24" t="s">
        <v>394</v>
      </c>
      <c r="B82" s="24" t="s">
        <v>466</v>
      </c>
      <c r="E82" s="24"/>
      <c r="H82" s="27"/>
      <c r="I82" s="28"/>
    </row>
    <row r="83" spans="1:13" x14ac:dyDescent="0.2">
      <c r="A83" s="24" t="s">
        <v>395</v>
      </c>
      <c r="B83" s="24" t="s">
        <v>467</v>
      </c>
      <c r="E83" s="24"/>
      <c r="H83" s="27"/>
      <c r="I83" s="28"/>
    </row>
    <row r="84" spans="1:13" x14ac:dyDescent="0.2">
      <c r="A84" s="24" t="s">
        <v>396</v>
      </c>
      <c r="B84" s="24" t="s">
        <v>468</v>
      </c>
      <c r="E84" s="24"/>
      <c r="H84" s="27"/>
      <c r="I84" s="28"/>
    </row>
    <row r="85" spans="1:13" x14ac:dyDescent="0.2">
      <c r="A85" s="24" t="s">
        <v>530</v>
      </c>
      <c r="B85" s="76" t="s">
        <v>532</v>
      </c>
      <c r="E85" s="24"/>
      <c r="H85" s="27"/>
      <c r="I85" s="28"/>
    </row>
    <row r="86" spans="1:13" x14ac:dyDescent="0.2">
      <c r="A86" s="24" t="s">
        <v>531</v>
      </c>
      <c r="B86" s="76" t="s">
        <v>533</v>
      </c>
      <c r="E86" s="24"/>
      <c r="H86" s="27"/>
      <c r="I86" s="28"/>
    </row>
    <row r="87" spans="1:13" x14ac:dyDescent="0.2">
      <c r="A87" s="24" t="s">
        <v>397</v>
      </c>
      <c r="B87" s="24" t="s">
        <v>452</v>
      </c>
      <c r="E87" s="24"/>
      <c r="H87" s="27"/>
      <c r="I87" s="28"/>
      <c r="M87" s="66"/>
    </row>
    <row r="88" spans="1:13" x14ac:dyDescent="0.2">
      <c r="A88" s="24" t="s">
        <v>398</v>
      </c>
      <c r="B88" s="24" t="s">
        <v>454</v>
      </c>
      <c r="E88" s="24"/>
      <c r="H88" s="27"/>
      <c r="I88" s="28"/>
      <c r="M88" s="66"/>
    </row>
    <row r="89" spans="1:13" x14ac:dyDescent="0.2">
      <c r="A89" s="24" t="s">
        <v>399</v>
      </c>
      <c r="B89" s="24" t="s">
        <v>453</v>
      </c>
      <c r="E89" s="24"/>
      <c r="H89" s="27"/>
      <c r="I89" s="28"/>
      <c r="M89" s="66"/>
    </row>
    <row r="90" spans="1:13" x14ac:dyDescent="0.2">
      <c r="A90" s="24" t="s">
        <v>400</v>
      </c>
      <c r="B90" s="24" t="s">
        <v>457</v>
      </c>
      <c r="E90" s="24"/>
      <c r="G90" s="60"/>
      <c r="H90" s="27"/>
      <c r="M90" s="66"/>
    </row>
    <row r="91" spans="1:13" x14ac:dyDescent="0.2">
      <c r="A91" s="60" t="s">
        <v>401</v>
      </c>
      <c r="B91" s="24" t="s">
        <v>459</v>
      </c>
      <c r="E91" s="24"/>
      <c r="G91" s="60"/>
      <c r="H91" s="65"/>
      <c r="M91" s="66"/>
    </row>
    <row r="92" spans="1:13" x14ac:dyDescent="0.2">
      <c r="A92" s="60" t="s">
        <v>402</v>
      </c>
      <c r="B92" s="24" t="s">
        <v>469</v>
      </c>
      <c r="E92" s="24"/>
      <c r="G92" s="60"/>
      <c r="H92" s="65"/>
      <c r="I92" s="60"/>
      <c r="J92" s="60"/>
    </row>
    <row r="93" spans="1:13" x14ac:dyDescent="0.2">
      <c r="A93" s="60" t="s">
        <v>403</v>
      </c>
      <c r="B93" s="24" t="s">
        <v>470</v>
      </c>
      <c r="E93" s="24"/>
      <c r="G93" s="60"/>
      <c r="H93" s="65"/>
      <c r="I93" s="60"/>
      <c r="J93" s="60"/>
    </row>
    <row r="94" spans="1:13" x14ac:dyDescent="0.2">
      <c r="A94" s="24" t="s">
        <v>404</v>
      </c>
      <c r="B94" s="24" t="s">
        <v>471</v>
      </c>
      <c r="H94" s="27"/>
    </row>
    <row r="95" spans="1:13" x14ac:dyDescent="0.2">
      <c r="A95" s="76" t="s">
        <v>534</v>
      </c>
      <c r="B95" s="76" t="s">
        <v>537</v>
      </c>
      <c r="H95" s="27"/>
    </row>
    <row r="96" spans="1:13" x14ac:dyDescent="0.2">
      <c r="A96" s="76" t="s">
        <v>535</v>
      </c>
      <c r="B96" s="76" t="s">
        <v>538</v>
      </c>
      <c r="H96" s="27"/>
    </row>
    <row r="97" spans="1:8" x14ac:dyDescent="0.2">
      <c r="A97" s="76" t="s">
        <v>536</v>
      </c>
      <c r="B97" s="76" t="s">
        <v>539</v>
      </c>
      <c r="H97" s="27"/>
    </row>
    <row r="98" spans="1:8" x14ac:dyDescent="0.2">
      <c r="A98" s="24" t="s">
        <v>405</v>
      </c>
      <c r="B98" s="24" t="s">
        <v>457</v>
      </c>
      <c r="H98" s="27"/>
    </row>
    <row r="99" spans="1:8" x14ac:dyDescent="0.2">
      <c r="A99" s="24" t="s">
        <v>406</v>
      </c>
      <c r="B99" s="24" t="s">
        <v>454</v>
      </c>
      <c r="H99" s="29"/>
    </row>
    <row r="100" spans="1:8" x14ac:dyDescent="0.2">
      <c r="A100" s="24" t="s">
        <v>407</v>
      </c>
      <c r="B100" s="24" t="s">
        <v>472</v>
      </c>
      <c r="H100" s="27"/>
    </row>
    <row r="101" spans="1:8" x14ac:dyDescent="0.2">
      <c r="A101" s="24" t="s">
        <v>408</v>
      </c>
      <c r="B101" s="24" t="s">
        <v>473</v>
      </c>
      <c r="H101" s="29"/>
    </row>
    <row r="102" spans="1:8" x14ac:dyDescent="0.2">
      <c r="A102" s="24" t="s">
        <v>567</v>
      </c>
      <c r="B102" s="77" t="s">
        <v>569</v>
      </c>
      <c r="H102" s="29"/>
    </row>
    <row r="103" spans="1:8" x14ac:dyDescent="0.2">
      <c r="A103" s="24" t="s">
        <v>568</v>
      </c>
      <c r="B103" s="77" t="s">
        <v>570</v>
      </c>
      <c r="H103" s="29"/>
    </row>
    <row r="104" spans="1:8" x14ac:dyDescent="0.2">
      <c r="A104" s="24" t="s">
        <v>409</v>
      </c>
      <c r="B104" s="24" t="s">
        <v>474</v>
      </c>
      <c r="G104" s="28"/>
      <c r="H104" s="27"/>
    </row>
    <row r="105" spans="1:8" x14ac:dyDescent="0.2">
      <c r="A105" s="24" t="s">
        <v>540</v>
      </c>
      <c r="B105" s="76" t="s">
        <v>543</v>
      </c>
      <c r="G105" s="28"/>
      <c r="H105" s="27"/>
    </row>
    <row r="106" spans="1:8" x14ac:dyDescent="0.2">
      <c r="A106" s="24" t="s">
        <v>541</v>
      </c>
      <c r="B106" s="76" t="s">
        <v>544</v>
      </c>
      <c r="G106" s="28"/>
      <c r="H106" s="27"/>
    </row>
    <row r="107" spans="1:8" x14ac:dyDescent="0.2">
      <c r="A107" s="24" t="s">
        <v>410</v>
      </c>
      <c r="B107" s="24" t="s">
        <v>475</v>
      </c>
      <c r="G107" s="28"/>
      <c r="H107" s="27"/>
    </row>
    <row r="108" spans="1:8" x14ac:dyDescent="0.2">
      <c r="A108" s="24" t="s">
        <v>542</v>
      </c>
      <c r="B108" s="76" t="s">
        <v>545</v>
      </c>
      <c r="G108" s="28"/>
      <c r="H108" s="27"/>
    </row>
    <row r="109" spans="1:8" x14ac:dyDescent="0.2">
      <c r="A109" s="24" t="s">
        <v>484</v>
      </c>
      <c r="B109" s="24" t="s">
        <v>476</v>
      </c>
      <c r="G109" s="28"/>
      <c r="H109" s="29"/>
    </row>
    <row r="110" spans="1:8" x14ac:dyDescent="0.2">
      <c r="A110" s="24" t="s">
        <v>485</v>
      </c>
      <c r="B110" s="24" t="s">
        <v>477</v>
      </c>
      <c r="H110" s="29"/>
    </row>
    <row r="111" spans="1:8" x14ac:dyDescent="0.2">
      <c r="A111" s="24" t="s">
        <v>486</v>
      </c>
      <c r="B111" s="24" t="s">
        <v>478</v>
      </c>
      <c r="H111" s="29"/>
    </row>
    <row r="112" spans="1:8" x14ac:dyDescent="0.2">
      <c r="A112" s="24" t="s">
        <v>487</v>
      </c>
      <c r="B112" s="24" t="s">
        <v>453</v>
      </c>
      <c r="H112" s="57"/>
    </row>
    <row r="113" spans="1:13" x14ac:dyDescent="0.2">
      <c r="A113" s="24" t="s">
        <v>488</v>
      </c>
      <c r="B113" s="24" t="s">
        <v>454</v>
      </c>
      <c r="H113" s="57"/>
    </row>
    <row r="114" spans="1:13" x14ac:dyDescent="0.2">
      <c r="A114" s="76" t="s">
        <v>546</v>
      </c>
      <c r="B114" s="76" t="s">
        <v>547</v>
      </c>
      <c r="H114" s="57"/>
    </row>
    <row r="115" spans="1:13" x14ac:dyDescent="0.2">
      <c r="A115" s="24" t="s">
        <v>489</v>
      </c>
      <c r="B115" s="24" t="s">
        <v>453</v>
      </c>
      <c r="F115" s="60"/>
      <c r="H115" s="57"/>
    </row>
    <row r="116" spans="1:13" x14ac:dyDescent="0.2">
      <c r="A116" s="24" t="s">
        <v>490</v>
      </c>
      <c r="B116" s="24" t="s">
        <v>454</v>
      </c>
      <c r="H116" s="57"/>
      <c r="M116" s="69"/>
    </row>
    <row r="117" spans="1:13" x14ac:dyDescent="0.2">
      <c r="A117" s="76" t="s">
        <v>548</v>
      </c>
      <c r="B117" s="76" t="s">
        <v>549</v>
      </c>
      <c r="H117" s="57"/>
      <c r="M117" s="69"/>
    </row>
    <row r="118" spans="1:13" x14ac:dyDescent="0.2">
      <c r="A118" s="24" t="s">
        <v>411</v>
      </c>
      <c r="B118" s="24" t="s">
        <v>497</v>
      </c>
      <c r="H118" s="57"/>
      <c r="M118" s="69"/>
    </row>
    <row r="119" spans="1:13" x14ac:dyDescent="0.2">
      <c r="A119" s="24" t="s">
        <v>412</v>
      </c>
      <c r="B119" s="24" t="s">
        <v>498</v>
      </c>
      <c r="H119" s="57"/>
      <c r="M119" s="69"/>
    </row>
    <row r="120" spans="1:13" x14ac:dyDescent="0.2">
      <c r="A120" s="60" t="s">
        <v>413</v>
      </c>
      <c r="B120" s="60" t="s">
        <v>497</v>
      </c>
      <c r="C120" s="60"/>
      <c r="D120" s="60"/>
      <c r="G120" s="60"/>
      <c r="H120" s="60"/>
    </row>
    <row r="121" spans="1:13" x14ac:dyDescent="0.2">
      <c r="A121" s="60" t="s">
        <v>414</v>
      </c>
      <c r="B121" s="60" t="s">
        <v>498</v>
      </c>
      <c r="C121" s="60"/>
      <c r="D121" s="60"/>
      <c r="G121" s="60"/>
      <c r="H121" s="60"/>
    </row>
    <row r="122" spans="1:13" x14ac:dyDescent="0.2">
      <c r="A122" s="60" t="s">
        <v>415</v>
      </c>
      <c r="B122" s="60" t="s">
        <v>499</v>
      </c>
      <c r="C122" s="60"/>
      <c r="G122" s="60"/>
    </row>
    <row r="123" spans="1:13" x14ac:dyDescent="0.2">
      <c r="A123" s="60" t="s">
        <v>416</v>
      </c>
      <c r="B123" s="60" t="s">
        <v>500</v>
      </c>
      <c r="C123" s="60"/>
      <c r="D123" s="60"/>
      <c r="G123" s="60"/>
    </row>
    <row r="124" spans="1:13" x14ac:dyDescent="0.2">
      <c r="A124" s="60" t="s">
        <v>417</v>
      </c>
      <c r="B124" s="60" t="s">
        <v>459</v>
      </c>
      <c r="C124" s="60"/>
      <c r="D124" s="60"/>
      <c r="G124" s="60"/>
    </row>
    <row r="125" spans="1:13" x14ac:dyDescent="0.2">
      <c r="A125" s="60" t="s">
        <v>418</v>
      </c>
      <c r="B125" s="60" t="s">
        <v>501</v>
      </c>
      <c r="C125" s="60"/>
      <c r="G125" s="60"/>
    </row>
    <row r="126" spans="1:13" x14ac:dyDescent="0.2">
      <c r="A126" s="60" t="s">
        <v>419</v>
      </c>
      <c r="B126" s="60" t="s">
        <v>502</v>
      </c>
      <c r="C126" s="60"/>
      <c r="D126" s="60"/>
      <c r="G126" s="60"/>
    </row>
    <row r="127" spans="1:13" x14ac:dyDescent="0.2">
      <c r="A127" s="60"/>
      <c r="B127" s="60"/>
      <c r="C127" s="60"/>
      <c r="D127" s="60"/>
      <c r="G127" s="60"/>
    </row>
    <row r="128" spans="1:13" x14ac:dyDescent="0.2">
      <c r="A128" s="60"/>
      <c r="B128" s="60"/>
      <c r="C128" s="60"/>
      <c r="G128" s="60"/>
    </row>
    <row r="129" spans="1:10" x14ac:dyDescent="0.2">
      <c r="A129" s="60"/>
      <c r="B129" s="60"/>
      <c r="C129" s="60"/>
      <c r="D129" s="60"/>
      <c r="G129" s="60"/>
    </row>
    <row r="130" spans="1:10" x14ac:dyDescent="0.2">
      <c r="A130" s="60"/>
      <c r="B130" s="60"/>
      <c r="C130" s="60"/>
      <c r="D130" s="60"/>
      <c r="G130" s="60"/>
    </row>
    <row r="131" spans="1:10" x14ac:dyDescent="0.2">
      <c r="A131" s="60"/>
      <c r="B131" s="60"/>
      <c r="C131" s="60"/>
      <c r="D131" s="60"/>
      <c r="G131" s="60"/>
      <c r="H131" s="60"/>
      <c r="I131" s="60"/>
      <c r="J131" s="60"/>
    </row>
    <row r="132" spans="1:10" x14ac:dyDescent="0.2">
      <c r="A132" s="59"/>
      <c r="B132" s="59"/>
      <c r="C132" s="59"/>
      <c r="D132" s="59"/>
      <c r="E132" s="32"/>
      <c r="G132" s="58"/>
      <c r="H132" s="32"/>
      <c r="I132" s="59"/>
      <c r="J132" s="60"/>
    </row>
    <row r="133" spans="1:10" x14ac:dyDescent="0.2">
      <c r="A133" s="59"/>
      <c r="B133" s="59"/>
      <c r="C133" s="59"/>
      <c r="D133" s="59"/>
      <c r="E133" s="32"/>
      <c r="G133" s="58"/>
      <c r="H133" s="32"/>
      <c r="I133" s="59"/>
      <c r="J133" s="60"/>
    </row>
    <row r="134" spans="1:10" x14ac:dyDescent="0.2">
      <c r="A134" s="59"/>
      <c r="B134" s="59"/>
      <c r="C134" s="59"/>
      <c r="D134" s="59"/>
      <c r="E134" s="32"/>
      <c r="G134" s="58"/>
      <c r="H134" s="32"/>
      <c r="I134" s="59"/>
      <c r="J134" s="60"/>
    </row>
    <row r="135" spans="1:10" x14ac:dyDescent="0.2">
      <c r="A135" s="59"/>
      <c r="B135" s="59"/>
      <c r="C135" s="59"/>
      <c r="D135" s="59"/>
      <c r="E135" s="32"/>
      <c r="G135" s="58"/>
      <c r="H135" s="32"/>
      <c r="I135" s="59"/>
      <c r="J135" s="60"/>
    </row>
    <row r="136" spans="1:10" x14ac:dyDescent="0.2">
      <c r="A136" s="59"/>
      <c r="B136" s="59"/>
      <c r="C136" s="59"/>
      <c r="D136" s="59"/>
      <c r="E136" s="32"/>
      <c r="F136" s="59"/>
      <c r="G136" s="59"/>
      <c r="H136" s="32"/>
      <c r="I136" s="59"/>
    </row>
    <row r="137" spans="1:10" x14ac:dyDescent="0.2">
      <c r="A137" s="59"/>
      <c r="B137" s="59"/>
      <c r="C137" s="59"/>
      <c r="D137" s="59"/>
      <c r="E137" s="32"/>
      <c r="F137" s="59"/>
      <c r="G137" s="59"/>
      <c r="H137" s="32"/>
      <c r="I137" s="59"/>
    </row>
    <row r="138" spans="1:10" x14ac:dyDescent="0.2">
      <c r="A138" s="59"/>
      <c r="B138" s="59"/>
      <c r="C138" s="59"/>
      <c r="D138" s="59"/>
      <c r="E138" s="32"/>
      <c r="F138" s="59"/>
      <c r="G138" s="59"/>
      <c r="H138" s="32"/>
      <c r="I138" s="59"/>
    </row>
    <row r="139" spans="1:10" x14ac:dyDescent="0.2">
      <c r="A139" s="59"/>
      <c r="B139" s="59"/>
      <c r="C139" s="59"/>
      <c r="D139" s="59"/>
      <c r="E139" s="32"/>
      <c r="F139" s="59"/>
      <c r="G139" s="59"/>
      <c r="H139" s="32"/>
      <c r="I139" s="59"/>
    </row>
    <row r="140" spans="1:10" x14ac:dyDescent="0.2">
      <c r="A140" s="59"/>
      <c r="B140" s="59"/>
      <c r="C140" s="59"/>
      <c r="D140" s="59"/>
      <c r="E140" s="32"/>
      <c r="F140" s="59"/>
      <c r="G140" s="59"/>
      <c r="H140" s="32"/>
      <c r="I140" s="59"/>
    </row>
    <row r="141" spans="1:10" x14ac:dyDescent="0.2">
      <c r="A141" s="60"/>
      <c r="B141" s="60"/>
      <c r="G141" s="60"/>
      <c r="H141" s="59"/>
      <c r="I141" s="59"/>
    </row>
    <row r="142" spans="1:10" x14ac:dyDescent="0.2">
      <c r="G142" s="60"/>
    </row>
    <row r="143" spans="1:10" x14ac:dyDescent="0.2">
      <c r="G143" s="60"/>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入力シート</vt:lpstr>
      <vt:lpstr>入力シート（2事業場以降）</vt:lpstr>
      <vt:lpstr>第１号様式(その２の２)</vt:lpstr>
      <vt:lpstr>様式第1（10事業場30台）</vt:lpstr>
      <vt:lpstr>様式第1（30事業場90台）</vt:lpstr>
      <vt:lpstr>レポート用</vt:lpstr>
      <vt:lpstr>中間シート</vt:lpstr>
      <vt:lpstr>プルダウン</vt:lpstr>
      <vt:lpstr>補助対象研修一覧</vt:lpstr>
      <vt:lpstr>'第１号様式(その２の２)'!Print_Area</vt:lpstr>
      <vt:lpstr>'様式第1（10事業場30台）'!Print_Area</vt:lpstr>
      <vt:lpstr>'様式第1（30事業場90台）'!Print_Area</vt:lpstr>
      <vt:lpstr>補助対象研修一覧!補助対象機器一覧_コード番号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2024-07-20T07:14:47Z</dcterms:created>
  <dcterms:modified xsi:type="dcterms:W3CDTF">2025-11-20T07:33:48Z</dcterms:modified>
  <cp:category/>
  <cp:contentStatus/>
</cp:coreProperties>
</file>